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35" windowWidth="26835" windowHeight="12075"/>
  </bookViews>
  <sheets>
    <sheet name="Loan vs. Lease" sheetId="1" r:id="rId1"/>
  </sheets>
  <calcPr calcId="125725" iterate="1"/>
</workbook>
</file>

<file path=xl/calcChain.xml><?xml version="1.0" encoding="utf-8"?>
<calcChain xmlns="http://schemas.openxmlformats.org/spreadsheetml/2006/main">
  <c r="E14" i="1"/>
  <c r="K10"/>
  <c r="K6"/>
  <c r="K9"/>
  <c r="K8"/>
  <c r="K40"/>
  <c r="J39"/>
  <c r="K39" s="1"/>
  <c r="I40"/>
  <c r="J40" s="1"/>
  <c r="B28"/>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E15"/>
  <c r="K15" l="1"/>
  <c r="K16" s="1"/>
  <c r="I41"/>
  <c r="J41" s="1"/>
  <c r="I42" l="1"/>
  <c r="K41"/>
  <c r="I43" l="1"/>
  <c r="J42"/>
  <c r="K42"/>
  <c r="I44" l="1"/>
  <c r="K43"/>
  <c r="J43"/>
  <c r="I45" l="1"/>
  <c r="J44"/>
  <c r="K44"/>
  <c r="I46" l="1"/>
  <c r="J45"/>
  <c r="K45"/>
  <c r="I47" l="1"/>
  <c r="J46"/>
  <c r="K46"/>
  <c r="I48" l="1"/>
  <c r="K47"/>
  <c r="J47"/>
  <c r="I49" l="1"/>
  <c r="J48"/>
  <c r="K48"/>
  <c r="I50" l="1"/>
  <c r="K49"/>
  <c r="J49"/>
  <c r="I51" l="1"/>
  <c r="J50"/>
  <c r="K50"/>
  <c r="I52" l="1"/>
  <c r="K51"/>
  <c r="J51"/>
  <c r="I53" l="1"/>
  <c r="J52"/>
  <c r="K52"/>
  <c r="I54" l="1"/>
  <c r="J53"/>
  <c r="K53"/>
  <c r="I55" l="1"/>
  <c r="J54"/>
  <c r="K54"/>
  <c r="I56" l="1"/>
  <c r="K55"/>
  <c r="J55"/>
  <c r="I57" l="1"/>
  <c r="K56"/>
  <c r="J56"/>
  <c r="K57" l="1"/>
  <c r="J57"/>
  <c r="I58"/>
  <c r="K58" l="1"/>
  <c r="J58"/>
  <c r="I59"/>
  <c r="J59" l="1"/>
  <c r="K59"/>
  <c r="I60"/>
  <c r="J60" l="1"/>
  <c r="K60"/>
  <c r="I61"/>
  <c r="J61" l="1"/>
  <c r="I62"/>
  <c r="K61"/>
  <c r="J62" l="1"/>
  <c r="I63"/>
  <c r="K62"/>
  <c r="J63" l="1"/>
  <c r="K63"/>
  <c r="I64"/>
  <c r="J64" l="1"/>
  <c r="I65"/>
  <c r="K64"/>
  <c r="J65" l="1"/>
  <c r="I66"/>
  <c r="K65"/>
  <c r="J66" l="1"/>
  <c r="K66"/>
  <c r="I67"/>
  <c r="J67" l="1"/>
  <c r="I68"/>
  <c r="K67"/>
  <c r="J68" l="1"/>
  <c r="I69"/>
  <c r="K68"/>
  <c r="J69" l="1"/>
  <c r="K69"/>
  <c r="I70"/>
  <c r="I71" l="1"/>
  <c r="K70"/>
  <c r="J70"/>
  <c r="J71" l="1"/>
  <c r="I72"/>
  <c r="K71"/>
  <c r="J72" l="1"/>
  <c r="K72"/>
  <c r="I73"/>
  <c r="J73" l="1"/>
  <c r="I74"/>
  <c r="K73"/>
  <c r="J74" l="1"/>
  <c r="I75"/>
  <c r="K74"/>
  <c r="J75" l="1"/>
  <c r="K75"/>
  <c r="K11" l="1"/>
  <c r="E18" l="1"/>
  <c r="E20" s="1"/>
  <c r="K14"/>
  <c r="E16" s="1"/>
  <c r="K19"/>
  <c r="E19" l="1"/>
  <c r="D70"/>
  <c r="D37"/>
  <c r="D42"/>
  <c r="D35"/>
  <c r="D48"/>
  <c r="D38"/>
  <c r="D61"/>
  <c r="D59"/>
  <c r="D60"/>
  <c r="D47"/>
  <c r="D41"/>
  <c r="D77"/>
  <c r="D67"/>
  <c r="D64"/>
  <c r="D72"/>
  <c r="D33"/>
  <c r="D51"/>
  <c r="D34"/>
  <c r="D82"/>
  <c r="D39"/>
  <c r="D27"/>
  <c r="D29"/>
  <c r="D62"/>
  <c r="D68"/>
  <c r="D65"/>
  <c r="D54"/>
  <c r="D79"/>
  <c r="D36"/>
  <c r="D86"/>
  <c r="D40"/>
  <c r="D32"/>
  <c r="D43"/>
  <c r="D28"/>
  <c r="D44"/>
  <c r="D76"/>
  <c r="D75"/>
  <c r="D55"/>
  <c r="D69"/>
  <c r="D84"/>
  <c r="D73"/>
  <c r="D45"/>
  <c r="D52"/>
  <c r="D57"/>
  <c r="D31"/>
  <c r="D66"/>
  <c r="D30"/>
  <c r="D78"/>
  <c r="D85"/>
  <c r="D80"/>
  <c r="D49"/>
  <c r="D53"/>
  <c r="D74"/>
  <c r="D50"/>
  <c r="D81"/>
  <c r="D71"/>
  <c r="D56"/>
  <c r="D83"/>
  <c r="D58"/>
  <c r="D46"/>
  <c r="D63"/>
  <c r="K18"/>
  <c r="K20" s="1"/>
  <c r="F15" s="1"/>
  <c r="C27"/>
  <c r="E27" s="1"/>
  <c r="F27" l="1"/>
  <c r="G27" s="1"/>
  <c r="C28" s="1"/>
  <c r="E28" s="1"/>
  <c r="F28" s="1"/>
  <c r="G28" s="1"/>
  <c r="C29" s="1"/>
  <c r="E29" s="1"/>
  <c r="F29" s="1"/>
  <c r="G29" s="1"/>
  <c r="C30" s="1"/>
  <c r="E30" s="1"/>
  <c r="F30" s="1"/>
  <c r="G30" s="1"/>
  <c r="C31" s="1"/>
  <c r="E31" s="1"/>
  <c r="F31" s="1"/>
  <c r="G31" s="1"/>
  <c r="C32" s="1"/>
  <c r="E32" s="1"/>
  <c r="F32" s="1"/>
  <c r="G32" s="1"/>
  <c r="C33" s="1"/>
  <c r="E33" s="1"/>
  <c r="F33" s="1"/>
  <c r="G33" s="1"/>
  <c r="C34" s="1"/>
  <c r="E34" s="1"/>
  <c r="F34" s="1"/>
  <c r="G34" s="1"/>
  <c r="C35" s="1"/>
  <c r="E35" l="1"/>
  <c r="F35" s="1"/>
  <c r="G35" s="1"/>
  <c r="C36" s="1"/>
  <c r="E36" s="1"/>
  <c r="F36" s="1"/>
  <c r="G36" s="1"/>
  <c r="C37" s="1"/>
  <c r="E37" l="1"/>
  <c r="F37" s="1"/>
  <c r="G37" s="1"/>
  <c r="C38" s="1"/>
  <c r="E38" s="1"/>
  <c r="F38" s="1"/>
  <c r="G38" s="1"/>
  <c r="C39" s="1"/>
  <c r="E39" l="1"/>
  <c r="F39" s="1"/>
  <c r="G39" s="1"/>
  <c r="C40" s="1"/>
  <c r="E40" l="1"/>
  <c r="F40" s="1"/>
  <c r="G40" s="1"/>
  <c r="C41" s="1"/>
  <c r="E41" l="1"/>
  <c r="F41" s="1"/>
  <c r="G41" s="1"/>
  <c r="C42" s="1"/>
  <c r="E42" s="1"/>
  <c r="F42" s="1"/>
  <c r="G42" s="1"/>
  <c r="C43" s="1"/>
  <c r="E43" l="1"/>
  <c r="F43" s="1"/>
  <c r="G43" s="1"/>
  <c r="C44" s="1"/>
  <c r="E44" l="1"/>
  <c r="F44" s="1"/>
  <c r="G44" s="1"/>
  <c r="C45" s="1"/>
  <c r="E45" l="1"/>
  <c r="F45" s="1"/>
  <c r="G45" s="1"/>
  <c r="C46" s="1"/>
  <c r="E46" l="1"/>
  <c r="F46" s="1"/>
  <c r="G46" s="1"/>
  <c r="C47" s="1"/>
  <c r="E47" s="1"/>
  <c r="F47" s="1"/>
  <c r="G47" s="1"/>
  <c r="C48" s="1"/>
  <c r="E48" l="1"/>
  <c r="F48" s="1"/>
  <c r="G48" s="1"/>
  <c r="C49" s="1"/>
  <c r="E49" s="1"/>
  <c r="F49" s="1"/>
  <c r="G49" s="1"/>
  <c r="C50" s="1"/>
  <c r="E50" l="1"/>
  <c r="F50" s="1"/>
  <c r="G50" s="1"/>
  <c r="C51" s="1"/>
  <c r="E51" s="1"/>
  <c r="F51" s="1"/>
  <c r="G51" s="1"/>
  <c r="C52" s="1"/>
  <c r="E52" l="1"/>
  <c r="F52" s="1"/>
  <c r="G52" s="1"/>
  <c r="C53" s="1"/>
  <c r="E53" l="1"/>
  <c r="F53" s="1"/>
  <c r="G53" s="1"/>
  <c r="C54" s="1"/>
  <c r="E54" l="1"/>
  <c r="F54" s="1"/>
  <c r="G54" s="1"/>
  <c r="C55" s="1"/>
  <c r="E55" l="1"/>
  <c r="F55" s="1"/>
  <c r="G55" s="1"/>
  <c r="C56" s="1"/>
  <c r="E56" l="1"/>
  <c r="F56" s="1"/>
  <c r="G56" s="1"/>
  <c r="C57" s="1"/>
  <c r="E57" s="1"/>
  <c r="F57" s="1"/>
  <c r="G57" s="1"/>
  <c r="C58" s="1"/>
  <c r="E58" s="1"/>
  <c r="F58" s="1"/>
  <c r="G58" s="1"/>
  <c r="C59" s="1"/>
  <c r="E59" s="1"/>
  <c r="F59" s="1"/>
  <c r="G59" s="1"/>
  <c r="C60" s="1"/>
  <c r="E60" s="1"/>
  <c r="F60" s="1"/>
  <c r="G60" s="1"/>
  <c r="C61" s="1"/>
  <c r="E61" l="1"/>
  <c r="F61" s="1"/>
  <c r="G61" s="1"/>
  <c r="C62" s="1"/>
  <c r="E62" l="1"/>
  <c r="F62" s="1"/>
  <c r="G62" s="1"/>
  <c r="C63" s="1"/>
  <c r="E63" s="1"/>
  <c r="F63" s="1"/>
  <c r="G63" s="1"/>
  <c r="C64" s="1"/>
  <c r="E64" l="1"/>
  <c r="F64" s="1"/>
  <c r="G64" s="1"/>
  <c r="C65" s="1"/>
  <c r="E65" l="1"/>
  <c r="F65" s="1"/>
  <c r="G65" s="1"/>
  <c r="C66" s="1"/>
  <c r="E66" l="1"/>
  <c r="F66" s="1"/>
  <c r="G66" s="1"/>
  <c r="C67" s="1"/>
  <c r="E67" l="1"/>
  <c r="F67" s="1"/>
  <c r="G67" s="1"/>
  <c r="C68" s="1"/>
  <c r="E68" l="1"/>
  <c r="F68" s="1"/>
  <c r="G68" s="1"/>
  <c r="C69" s="1"/>
  <c r="E69" l="1"/>
  <c r="F69" s="1"/>
  <c r="G69" s="1"/>
  <c r="C70" s="1"/>
  <c r="E70" l="1"/>
  <c r="F70" s="1"/>
  <c r="G70" s="1"/>
  <c r="C71" s="1"/>
  <c r="E71" s="1"/>
  <c r="F71" l="1"/>
  <c r="G71" s="1"/>
  <c r="C72" s="1"/>
  <c r="E72" l="1"/>
  <c r="F72" l="1"/>
  <c r="G72" s="1"/>
  <c r="C73" s="1"/>
  <c r="E73" s="1"/>
  <c r="F73" s="1"/>
  <c r="G73" s="1"/>
  <c r="C74" s="1"/>
  <c r="E74" s="1"/>
  <c r="F74" s="1"/>
  <c r="G74" s="1"/>
  <c r="C75" s="1"/>
  <c r="E75" l="1"/>
  <c r="F75" s="1"/>
  <c r="G75" s="1"/>
  <c r="C76" s="1"/>
  <c r="E76" s="1"/>
  <c r="F76" s="1"/>
  <c r="G76" s="1"/>
  <c r="C77" s="1"/>
  <c r="E77" l="1"/>
  <c r="F77" s="1"/>
  <c r="G77" s="1"/>
  <c r="C78" s="1"/>
  <c r="E78" l="1"/>
  <c r="F78" l="1"/>
  <c r="G78" s="1"/>
  <c r="C79" s="1"/>
  <c r="E79" l="1"/>
  <c r="F79" s="1"/>
  <c r="G79" s="1"/>
  <c r="C80" s="1"/>
  <c r="E80" l="1"/>
  <c r="F80" s="1"/>
  <c r="G80" s="1"/>
  <c r="C81" s="1"/>
  <c r="E81" s="1"/>
  <c r="F81" s="1"/>
  <c r="G81" s="1"/>
  <c r="C82" s="1"/>
  <c r="E82" s="1"/>
  <c r="F82" s="1"/>
  <c r="G82" s="1"/>
  <c r="C83" s="1"/>
  <c r="E83" s="1"/>
  <c r="F83" s="1"/>
  <c r="G83" s="1"/>
  <c r="C84" s="1"/>
  <c r="E84" s="1"/>
  <c r="F84" s="1"/>
  <c r="G84" s="1"/>
  <c r="C85" s="1"/>
  <c r="E85" l="1"/>
  <c r="F85" s="1"/>
  <c r="G85" s="1"/>
  <c r="C86" s="1"/>
  <c r="E86" s="1"/>
  <c r="F86" l="1"/>
  <c r="G86" s="1"/>
  <c r="E17"/>
</calcChain>
</file>

<file path=xl/comments1.xml><?xml version="1.0" encoding="utf-8"?>
<comments xmlns="http://schemas.openxmlformats.org/spreadsheetml/2006/main">
  <authors>
    <author>John Becker</author>
  </authors>
  <commentList>
    <comment ref="K10" authorId="0">
      <text>
        <r>
          <rPr>
            <sz val="9"/>
            <color indexed="81"/>
            <rFont val="Tahoma"/>
            <family val="2"/>
          </rPr>
          <t xml:space="preserve">The lease equivalent of a downpayment.
</t>
        </r>
      </text>
    </comment>
    <comment ref="K11" authorId="0">
      <text>
        <r>
          <rPr>
            <sz val="9"/>
            <color indexed="81"/>
            <rFont val="Tahoma"/>
            <family val="2"/>
          </rPr>
          <t xml:space="preserve">=LOOKUP($K$7,$I$39:$I$75,$K$39:$K$75)
Acquired from the table below, based on the adjustable lease term
</t>
        </r>
      </text>
    </comment>
    <comment ref="K16" authorId="0">
      <text>
        <r>
          <rPr>
            <sz val="9"/>
            <color indexed="81"/>
            <rFont val="Tahoma"/>
            <family val="2"/>
          </rPr>
          <t xml:space="preserve">=K15/24
A staple of the lease model, the money factor computes a monthly multiplier to be applied to the residual value and to the total amount financed. In effect, this method computes the financing cost as the interest rate times the average of the beginning value of the vehicle and the ending (residual) value of the vehicle, and not times the balance of a decreasing loan or decreasing "asset value." Thus, exactly the same "interest" is due every month and the "loan value" is assumed to decrease linearly instead of logarithmically.
</t>
        </r>
      </text>
    </comment>
    <comment ref="E18" authorId="0">
      <text>
        <r>
          <rPr>
            <sz val="9"/>
            <color indexed="81"/>
            <rFont val="Tahoma"/>
            <family val="2"/>
          </rPr>
          <t xml:space="preserve">=K11/((1+E8)^(E7/12))
This PV is computed using the prime rate with no rate premium, as it the value the customer is receiving for paying extra in the purchase model every month. If the customer is investing money with the dealer, in essence, for a future payoff, the customer will not be getting a return that includes the retail rate premium. Thus, the PV of the future asset (the residual value of the vehicle), is computed using only the prime rate.
</t>
        </r>
      </text>
    </comment>
    <comment ref="E20" authorId="0">
      <text>
        <r>
          <rPr>
            <sz val="9"/>
            <color indexed="81"/>
            <rFont val="Tahoma"/>
            <family val="2"/>
          </rPr>
          <t>=PMT(E15/12,E7,-(E14-E18),0)
A comparison between E16 and K20 is not valid because the consumer is entitled to retain the vehicle in the purchase and finance model, but must return the vehicle in the lease model. Every consumer knows that if one path allows them to keep the vehicle after n months, and the other requires return of the vehicle, that the former owner experience will be more expensive than the latter over the same payment term. That comparison is self-evident and is not the purpose of this exercise. (If it is, look no further than E16 and K20.)
The purpose of this cell is to "net out" the benefit of having the vehicle after n months in order to compare the two models side-by-side as financing methods alone - financing methods on the same asset. That asset is the material use and effective ownership of the vehicle for n months and no further use or ownership beyond n months. This value assumes that the vehicle will be sold for exactly the residual value in n months.
As a further note, it is rational to expect the lease model to be more expensive overall because it requires more from the dealer. The dealer is bearing the risk of the condition of the vehicle after the lease term, having committed to retake possession at the residual value, and the lease model requires further transaction activity from the dealer after n months. In this model, the amount of this difference varies linearly with the rate premium.</t>
        </r>
      </text>
    </comment>
  </commentList>
</comments>
</file>

<file path=xl/sharedStrings.xml><?xml version="1.0" encoding="utf-8"?>
<sst xmlns="http://schemas.openxmlformats.org/spreadsheetml/2006/main" count="52" uniqueCount="45">
  <si>
    <t>Purchase Price</t>
  </si>
  <si>
    <t>Loan Term (months)</t>
  </si>
  <si>
    <t>Interest Rate (APR)</t>
  </si>
  <si>
    <t>Downpayment</t>
  </si>
  <si>
    <t>Prime Rate*</t>
  </si>
  <si>
    <t>*average 60-month new car loan rate from BankRate.com</t>
  </si>
  <si>
    <t>Monthly Payment</t>
  </si>
  <si>
    <t>Period</t>
  </si>
  <si>
    <t>Payment</t>
  </si>
  <si>
    <t>Interest</t>
  </si>
  <si>
    <t>Principal</t>
  </si>
  <si>
    <t>End. Balance</t>
  </si>
  <si>
    <t>Beg. Balance</t>
  </si>
  <si>
    <t>Rate Premium</t>
  </si>
  <si>
    <t>Total Interest Payments</t>
  </si>
  <si>
    <t>Inputs:</t>
  </si>
  <si>
    <t>Outputs:</t>
  </si>
  <si>
    <t>Total Financed</t>
  </si>
  <si>
    <t>Capital Cost Reduction</t>
  </si>
  <si>
    <t>Residual Value</t>
  </si>
  <si>
    <t>Range Rover: Purchase and Finance vs. Lease</t>
  </si>
  <si>
    <t>Purchase and Finance:</t>
  </si>
  <si>
    <t>Lease:</t>
  </si>
  <si>
    <t>Net Capital Cost</t>
  </si>
  <si>
    <t>Money Factor</t>
  </si>
  <si>
    <t>Lease Payment</t>
  </si>
  <si>
    <t>Residuals from leasecompare.com</t>
  </si>
  <si>
    <t>Term</t>
  </si>
  <si>
    <t>Residual</t>
  </si>
  <si>
    <t>Interpolated Residual Table:</t>
  </si>
  <si>
    <t>Given Value</t>
  </si>
  <si>
    <t>Interpolated</t>
  </si>
  <si>
    <t>Lease Term (24-60 month)</t>
  </si>
  <si>
    <t>Monthly Capital Charge</t>
  </si>
  <si>
    <t>Monthly Finance Charge</t>
  </si>
  <si>
    <t>Note: For the purpose of a valid comparison, the same interest rate will be entered in both models. The lease framework uses a "money factor," which is derived from an interest rate: MF = Rate/24. The way this is computed, every month the finance charge is the APR/12 times the average of the "total amount financed" and the residual value.</t>
  </si>
  <si>
    <t>Ownership Consideration*</t>
  </si>
  <si>
    <t>Adjusted Payment</t>
  </si>
  <si>
    <t>The quoted monthly costs for financing and leasing are both considerably smaller than those in our model, reflecting a much lower effective APR than 9%.</t>
  </si>
  <si>
    <t>*Ownership Consideration subtracts back out from the monthly payment those cash flows whose FV is the residual value from the lease model. The goal is to adjust the loan payment for the fact that you own the car after n months in the financing model, and you don't own the vehicle at the end of a lease. In essence, this is the amount you are paying "extra" every month in order to own an asset valued at the residual value in n months, instead of having to give it back to the dealer.</t>
  </si>
  <si>
    <t>The lease residuals for the 24-month and the 36-month terms are "upside down," but are retained in the model for data integrity.</t>
  </si>
  <si>
    <t>PV of Residual (at Prime)</t>
  </si>
  <si>
    <t>Quote from leasecompare.com:</t>
  </si>
  <si>
    <t>Source:</t>
  </si>
  <si>
    <t>http://www.leasecompare.com/quick_lease_quotes.php?ModelYear=2013&amp;MakeID=425&amp;ModelID=116&amp;StyleID=155&amp;Make=Land+Rover&amp;Model=Range+Rover&amp;Trim=&amp;ZipCode=02554&amp;QuickQuote=-1</t>
  </si>
</sst>
</file>

<file path=xl/styles.xml><?xml version="1.0" encoding="utf-8"?>
<styleSheet xmlns="http://schemas.openxmlformats.org/spreadsheetml/2006/main">
  <numFmts count="6">
    <numFmt numFmtId="6" formatCode="&quot;$&quot;#,##0_);[Red]\(&quot;$&quot;#,##0\)"/>
    <numFmt numFmtId="8" formatCode="&quot;$&quot;#,##0.00_);[Red]\(&quot;$&quot;#,##0.00\)"/>
    <numFmt numFmtId="164" formatCode="0.000%"/>
    <numFmt numFmtId="165" formatCode="&quot;$&quot;#,##0"/>
    <numFmt numFmtId="166" formatCode="#,##0.00000_);[Red]\(#,##0.00000\)"/>
    <numFmt numFmtId="167" formatCode="#,##0.0000000_);[Red]\(#,##0.0000000\)"/>
  </numFmts>
  <fonts count="15">
    <font>
      <sz val="11"/>
      <color theme="1"/>
      <name val="Calibri"/>
      <family val="2"/>
      <scheme val="minor"/>
    </font>
    <font>
      <i/>
      <sz val="9"/>
      <color theme="1"/>
      <name val="Calibri"/>
      <family val="2"/>
      <scheme val="minor"/>
    </font>
    <font>
      <sz val="12"/>
      <color theme="1"/>
      <name val="Calibri"/>
      <family val="2"/>
      <scheme val="minor"/>
    </font>
    <font>
      <i/>
      <sz val="12"/>
      <color theme="1"/>
      <name val="Calibri"/>
      <family val="2"/>
      <scheme val="minor"/>
    </font>
    <font>
      <sz val="14"/>
      <color theme="1"/>
      <name val="Calibri"/>
      <family val="2"/>
      <scheme val="minor"/>
    </font>
    <font>
      <sz val="13"/>
      <color theme="1"/>
      <name val="Calibri"/>
      <family val="2"/>
      <scheme val="minor"/>
    </font>
    <font>
      <b/>
      <sz val="13"/>
      <color theme="1"/>
      <name val="Calibri"/>
      <family val="2"/>
      <scheme val="minor"/>
    </font>
    <font>
      <b/>
      <i/>
      <sz val="13"/>
      <color theme="1"/>
      <name val="Calibri"/>
      <family val="2"/>
      <scheme val="minor"/>
    </font>
    <font>
      <b/>
      <i/>
      <sz val="14"/>
      <color theme="1"/>
      <name val="Calibri"/>
      <family val="2"/>
      <scheme val="minor"/>
    </font>
    <font>
      <b/>
      <sz val="14"/>
      <color theme="1"/>
      <name val="Calibri"/>
      <family val="2"/>
      <scheme val="minor"/>
    </font>
    <font>
      <i/>
      <sz val="10"/>
      <color theme="1"/>
      <name val="Calibri"/>
      <family val="2"/>
      <scheme val="minor"/>
    </font>
    <font>
      <sz val="10"/>
      <color theme="1"/>
      <name val="Calibri"/>
      <family val="2"/>
      <scheme val="minor"/>
    </font>
    <font>
      <sz val="9"/>
      <color indexed="81"/>
      <name val="Tahoma"/>
      <family val="2"/>
    </font>
    <font>
      <u/>
      <sz val="11"/>
      <color theme="10"/>
      <name val="Calibri"/>
      <family val="2"/>
    </font>
    <font>
      <u/>
      <sz val="9"/>
      <color theme="10"/>
      <name val="Calibri"/>
      <family val="2"/>
    </font>
  </fonts>
  <fills count="8">
    <fill>
      <patternFill patternType="none"/>
    </fill>
    <fill>
      <patternFill patternType="gray125"/>
    </fill>
    <fill>
      <patternFill patternType="solid">
        <fgColor rgb="FFFFFF00"/>
        <bgColor indexed="64"/>
      </patternFill>
    </fill>
    <fill>
      <patternFill patternType="solid">
        <fgColor theme="0" tint="-0.14996795556505021"/>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rgb="FF92D050"/>
        <bgColor indexed="64"/>
      </patternFill>
    </fill>
  </fills>
  <borders count="12">
    <border>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13" fillId="0" borderId="0" applyNumberFormat="0" applyFill="0" applyBorder="0" applyAlignment="0" applyProtection="0">
      <alignment vertical="top"/>
      <protection locked="0"/>
    </xf>
  </cellStyleXfs>
  <cellXfs count="100">
    <xf numFmtId="0" fontId="0" fillId="0" borderId="0" xfId="0"/>
    <xf numFmtId="165" fontId="5" fillId="2" borderId="5" xfId="0" applyNumberFormat="1" applyFont="1" applyFill="1" applyBorder="1" applyProtection="1">
      <protection locked="0"/>
    </xf>
    <xf numFmtId="0" fontId="5" fillId="2" borderId="5" xfId="0" applyFont="1" applyFill="1" applyBorder="1" applyProtection="1">
      <protection locked="0"/>
    </xf>
    <xf numFmtId="164" fontId="5" fillId="2" borderId="5" xfId="0" applyNumberFormat="1" applyFont="1" applyFill="1" applyBorder="1" applyProtection="1">
      <protection locked="0"/>
    </xf>
    <xf numFmtId="165" fontId="5" fillId="2" borderId="8" xfId="0" applyNumberFormat="1" applyFont="1" applyFill="1" applyBorder="1" applyProtection="1">
      <protection locked="0"/>
    </xf>
    <xf numFmtId="0" fontId="2" fillId="0" borderId="0" xfId="0" applyFont="1" applyProtection="1"/>
    <xf numFmtId="0" fontId="9" fillId="3" borderId="9" xfId="0" applyFont="1" applyFill="1" applyBorder="1" applyAlignment="1" applyProtection="1">
      <alignment horizontal="center"/>
    </xf>
    <xf numFmtId="0" fontId="9" fillId="3" borderId="10" xfId="0" applyFont="1" applyFill="1" applyBorder="1" applyAlignment="1" applyProtection="1">
      <alignment horizontal="center"/>
    </xf>
    <xf numFmtId="0" fontId="9" fillId="3" borderId="11" xfId="0" applyFont="1" applyFill="1" applyBorder="1" applyAlignment="1" applyProtection="1">
      <alignment horizontal="center"/>
    </xf>
    <xf numFmtId="0" fontId="4" fillId="0" borderId="0" xfId="0" applyFont="1" applyProtection="1"/>
    <xf numFmtId="0" fontId="9" fillId="0" borderId="0" xfId="0" applyFont="1" applyFill="1" applyBorder="1" applyAlignment="1" applyProtection="1">
      <alignment horizontal="center"/>
    </xf>
    <xf numFmtId="0" fontId="8" fillId="0" borderId="0" xfId="0" applyFont="1" applyProtection="1"/>
    <xf numFmtId="0" fontId="7" fillId="0" borderId="0" xfId="0" applyFont="1" applyFill="1" applyBorder="1" applyProtection="1"/>
    <xf numFmtId="0" fontId="2" fillId="0" borderId="0" xfId="0" applyFont="1" applyFill="1" applyBorder="1" applyProtection="1"/>
    <xf numFmtId="0" fontId="7" fillId="2" borderId="2" xfId="0" applyFont="1" applyFill="1" applyBorder="1" applyAlignment="1" applyProtection="1">
      <alignment horizontal="left"/>
    </xf>
    <xf numFmtId="0" fontId="2" fillId="2" borderId="1" xfId="0" applyFont="1" applyFill="1" applyBorder="1" applyProtection="1"/>
    <xf numFmtId="0" fontId="2" fillId="2" borderId="3" xfId="0" applyFont="1" applyFill="1" applyBorder="1" applyProtection="1"/>
    <xf numFmtId="0" fontId="10" fillId="0" borderId="0" xfId="0" applyFont="1" applyBorder="1" applyAlignment="1" applyProtection="1">
      <alignment horizontal="center" vertical="center" wrapText="1"/>
    </xf>
    <xf numFmtId="0" fontId="10" fillId="0" borderId="5" xfId="0" applyFont="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5" fillId="0" borderId="0" xfId="0" applyFont="1" applyProtection="1"/>
    <xf numFmtId="0" fontId="5" fillId="2" borderId="4" xfId="0" applyFont="1" applyFill="1" applyBorder="1" applyProtection="1"/>
    <xf numFmtId="0" fontId="5" fillId="2" borderId="0" xfId="0" applyFont="1" applyFill="1" applyBorder="1" applyProtection="1"/>
    <xf numFmtId="165" fontId="5" fillId="2" borderId="5" xfId="0" applyNumberFormat="1" applyFont="1" applyFill="1" applyBorder="1" applyProtection="1"/>
    <xf numFmtId="164" fontId="5" fillId="2" borderId="5" xfId="0" applyNumberFormat="1" applyFont="1" applyFill="1" applyBorder="1" applyProtection="1"/>
    <xf numFmtId="0" fontId="5" fillId="0" borderId="0" xfId="0" applyFont="1" applyFill="1" applyBorder="1" applyProtection="1"/>
    <xf numFmtId="164" fontId="5" fillId="0" borderId="0" xfId="0" applyNumberFormat="1" applyFont="1" applyFill="1" applyBorder="1" applyProtection="1"/>
    <xf numFmtId="0" fontId="5" fillId="2" borderId="6" xfId="0" applyFont="1" applyFill="1" applyBorder="1" applyProtection="1"/>
    <xf numFmtId="0" fontId="5" fillId="2" borderId="7" xfId="0" applyFont="1" applyFill="1" applyBorder="1" applyProtection="1"/>
    <xf numFmtId="165" fontId="5" fillId="2" borderId="8" xfId="0" applyNumberFormat="1" applyFont="1" applyFill="1" applyBorder="1" applyProtection="1"/>
    <xf numFmtId="165" fontId="5" fillId="0" borderId="0" xfId="0" applyNumberFormat="1" applyFont="1" applyFill="1" applyBorder="1" applyProtection="1"/>
    <xf numFmtId="8" fontId="5" fillId="0" borderId="0" xfId="0" applyNumberFormat="1" applyFont="1" applyProtection="1"/>
    <xf numFmtId="0" fontId="1" fillId="0" borderId="0" xfId="0" applyFont="1" applyProtection="1"/>
    <xf numFmtId="0" fontId="3" fillId="0" borderId="0" xfId="0" applyFont="1" applyProtection="1"/>
    <xf numFmtId="3" fontId="2" fillId="0" borderId="0" xfId="0" applyNumberFormat="1" applyFont="1" applyProtection="1"/>
    <xf numFmtId="8" fontId="2" fillId="0" borderId="0" xfId="0" applyNumberFormat="1" applyFont="1" applyProtection="1"/>
    <xf numFmtId="0" fontId="7" fillId="5" borderId="2" xfId="0" applyFont="1" applyFill="1" applyBorder="1" applyProtection="1"/>
    <xf numFmtId="0" fontId="3" fillId="5" borderId="1" xfId="0" applyFont="1" applyFill="1" applyBorder="1" applyProtection="1"/>
    <xf numFmtId="3" fontId="2" fillId="5" borderId="3" xfId="0" applyNumberFormat="1" applyFont="1" applyFill="1" applyBorder="1" applyProtection="1"/>
    <xf numFmtId="0" fontId="3" fillId="0" borderId="0" xfId="0" applyFont="1" applyFill="1" applyBorder="1" applyProtection="1"/>
    <xf numFmtId="3" fontId="2" fillId="0" borderId="0" xfId="0" applyNumberFormat="1" applyFont="1" applyFill="1" applyBorder="1" applyProtection="1"/>
    <xf numFmtId="0" fontId="5" fillId="5" borderId="4" xfId="0" applyFont="1" applyFill="1" applyBorder="1" applyProtection="1"/>
    <xf numFmtId="0" fontId="3" fillId="5" borderId="0" xfId="0" applyFont="1" applyFill="1" applyBorder="1" applyProtection="1"/>
    <xf numFmtId="6" fontId="6" fillId="5" borderId="5" xfId="0" applyNumberFormat="1" applyFont="1" applyFill="1" applyBorder="1" applyProtection="1"/>
    <xf numFmtId="6" fontId="6" fillId="0" borderId="0" xfId="0" applyNumberFormat="1" applyFont="1" applyFill="1" applyBorder="1" applyProtection="1"/>
    <xf numFmtId="0" fontId="5" fillId="5" borderId="0" xfId="0" applyFont="1" applyFill="1" applyBorder="1" applyProtection="1"/>
    <xf numFmtId="164" fontId="6" fillId="5" borderId="5" xfId="0" applyNumberFormat="1" applyFont="1" applyFill="1" applyBorder="1" applyProtection="1"/>
    <xf numFmtId="0" fontId="9" fillId="7" borderId="4" xfId="0" applyFont="1" applyFill="1" applyBorder="1" applyAlignment="1" applyProtection="1">
      <alignment horizontal="center" vertical="center" wrapText="1"/>
    </xf>
    <xf numFmtId="0" fontId="9" fillId="7" borderId="0" xfId="0" applyFont="1" applyFill="1" applyBorder="1" applyAlignment="1" applyProtection="1">
      <alignment horizontal="center" vertical="center" wrapText="1"/>
    </xf>
    <xf numFmtId="0" fontId="9" fillId="7" borderId="5" xfId="0" applyFont="1" applyFill="1" applyBorder="1" applyAlignment="1" applyProtection="1">
      <alignment horizontal="center" vertical="center" wrapText="1"/>
    </xf>
    <xf numFmtId="164" fontId="6" fillId="0" borderId="0" xfId="0" applyNumberFormat="1" applyFont="1" applyFill="1" applyBorder="1" applyProtection="1"/>
    <xf numFmtId="40" fontId="6" fillId="5" borderId="5" xfId="0" applyNumberFormat="1" applyFont="1" applyFill="1" applyBorder="1" applyProtection="1"/>
    <xf numFmtId="167" fontId="5" fillId="5" borderId="5" xfId="0" applyNumberFormat="1" applyFont="1" applyFill="1" applyBorder="1" applyProtection="1"/>
    <xf numFmtId="166" fontId="5" fillId="0" borderId="0" xfId="0" applyNumberFormat="1" applyFont="1" applyFill="1" applyBorder="1" applyProtection="1"/>
    <xf numFmtId="0" fontId="5" fillId="5" borderId="6" xfId="0" applyFont="1" applyFill="1" applyBorder="1" applyProtection="1"/>
    <xf numFmtId="0" fontId="5" fillId="5" borderId="7" xfId="0" applyFont="1" applyFill="1" applyBorder="1" applyProtection="1"/>
    <xf numFmtId="40" fontId="5" fillId="5" borderId="8" xfId="0" applyNumberFormat="1" applyFont="1" applyFill="1" applyBorder="1" applyProtection="1"/>
    <xf numFmtId="0" fontId="5" fillId="5" borderId="0" xfId="0" applyFont="1" applyFill="1" applyProtection="1"/>
    <xf numFmtId="40" fontId="5" fillId="0" borderId="0" xfId="0" applyNumberFormat="1" applyFont="1" applyFill="1" applyBorder="1" applyProtection="1"/>
    <xf numFmtId="0" fontId="5" fillId="5" borderId="2" xfId="0" applyFont="1" applyFill="1" applyBorder="1" applyProtection="1"/>
    <xf numFmtId="0" fontId="5" fillId="5" borderId="1" xfId="0" applyFont="1" applyFill="1" applyBorder="1" applyProtection="1"/>
    <xf numFmtId="40" fontId="5" fillId="5" borderId="3" xfId="0" applyNumberFormat="1" applyFont="1" applyFill="1" applyBorder="1" applyProtection="1"/>
    <xf numFmtId="40" fontId="5" fillId="5" borderId="5" xfId="0" applyNumberFormat="1" applyFont="1" applyFill="1" applyBorder="1" applyProtection="1"/>
    <xf numFmtId="40" fontId="6" fillId="5" borderId="8" xfId="0" applyNumberFormat="1" applyFont="1" applyFill="1" applyBorder="1" applyProtection="1"/>
    <xf numFmtId="0" fontId="9" fillId="7" borderId="6" xfId="0" applyFont="1" applyFill="1" applyBorder="1" applyAlignment="1" applyProtection="1">
      <alignment horizontal="center" vertical="center" wrapText="1"/>
    </xf>
    <xf numFmtId="0" fontId="9" fillId="7" borderId="7" xfId="0" applyFont="1" applyFill="1" applyBorder="1" applyAlignment="1" applyProtection="1">
      <alignment horizontal="center" vertical="center" wrapText="1"/>
    </xf>
    <xf numFmtId="0" fontId="9" fillId="7" borderId="8" xfId="0" applyFont="1" applyFill="1" applyBorder="1" applyAlignment="1" applyProtection="1">
      <alignment horizontal="center" vertical="center" wrapText="1"/>
    </xf>
    <xf numFmtId="40" fontId="6" fillId="0" borderId="0" xfId="0" applyNumberFormat="1" applyFont="1" applyFill="1" applyBorder="1" applyProtection="1"/>
    <xf numFmtId="0" fontId="11" fillId="0" borderId="0" xfId="0" applyFont="1" applyAlignment="1" applyProtection="1">
      <alignment horizontal="center" vertical="center" wrapText="1"/>
    </xf>
    <xf numFmtId="0" fontId="2" fillId="3" borderId="2" xfId="0" applyFont="1" applyFill="1" applyBorder="1" applyAlignment="1" applyProtection="1">
      <alignment horizontal="center"/>
    </xf>
    <xf numFmtId="0" fontId="2" fillId="3" borderId="1" xfId="0" applyFont="1" applyFill="1" applyBorder="1" applyAlignment="1" applyProtection="1">
      <alignment horizontal="center"/>
    </xf>
    <xf numFmtId="0" fontId="2" fillId="3" borderId="3" xfId="0" applyFont="1" applyFill="1" applyBorder="1" applyAlignment="1" applyProtection="1">
      <alignment horizontal="center"/>
    </xf>
    <xf numFmtId="0" fontId="2" fillId="6" borderId="2" xfId="0" applyFont="1" applyFill="1" applyBorder="1" applyProtection="1"/>
    <xf numFmtId="0" fontId="2" fillId="6" borderId="1" xfId="0" applyFont="1" applyFill="1" applyBorder="1" applyProtection="1"/>
    <xf numFmtId="0" fontId="2" fillId="6" borderId="3" xfId="0" applyFont="1" applyFill="1" applyBorder="1" applyProtection="1"/>
    <xf numFmtId="0" fontId="2" fillId="4" borderId="4" xfId="0" applyFont="1" applyFill="1" applyBorder="1" applyProtection="1"/>
    <xf numFmtId="4" fontId="2" fillId="4" borderId="0" xfId="0" applyNumberFormat="1" applyFont="1" applyFill="1" applyBorder="1" applyProtection="1"/>
    <xf numFmtId="4" fontId="2" fillId="4" borderId="5" xfId="0" applyNumberFormat="1" applyFont="1" applyFill="1" applyBorder="1" applyProtection="1"/>
    <xf numFmtId="0" fontId="2" fillId="4" borderId="0" xfId="0" applyFont="1" applyFill="1" applyBorder="1" applyProtection="1"/>
    <xf numFmtId="0" fontId="2" fillId="4" borderId="5" xfId="0" applyFont="1" applyFill="1" applyBorder="1" applyProtection="1"/>
    <xf numFmtId="0" fontId="2" fillId="4" borderId="4" xfId="0" applyFont="1" applyFill="1" applyBorder="1" applyAlignment="1" applyProtection="1">
      <alignment horizontal="center"/>
    </xf>
    <xf numFmtId="0" fontId="2" fillId="4" borderId="0" xfId="0" applyFont="1" applyFill="1" applyBorder="1" applyAlignment="1" applyProtection="1">
      <alignment horizontal="center"/>
    </xf>
    <xf numFmtId="0" fontId="2" fillId="6" borderId="4" xfId="0" applyFont="1" applyFill="1" applyBorder="1" applyProtection="1"/>
    <xf numFmtId="0" fontId="2" fillId="6" borderId="0" xfId="0" applyFont="1" applyFill="1" applyBorder="1" applyProtection="1"/>
    <xf numFmtId="0" fontId="2" fillId="6" borderId="5" xfId="0" applyFont="1" applyFill="1" applyBorder="1" applyProtection="1"/>
    <xf numFmtId="0" fontId="2" fillId="4" borderId="5" xfId="0" applyFont="1" applyFill="1" applyBorder="1" applyAlignment="1" applyProtection="1">
      <alignment horizontal="center"/>
    </xf>
    <xf numFmtId="3" fontId="2" fillId="4" borderId="0" xfId="0" applyNumberFormat="1" applyFont="1" applyFill="1" applyBorder="1" applyAlignment="1" applyProtection="1">
      <alignment horizontal="center"/>
    </xf>
    <xf numFmtId="0" fontId="3" fillId="0" borderId="0" xfId="0" applyFont="1" applyAlignment="1" applyProtection="1">
      <alignment horizontal="center" vertical="center" wrapText="1"/>
    </xf>
    <xf numFmtId="0" fontId="2" fillId="0" borderId="0" xfId="0" applyFont="1" applyAlignment="1" applyProtection="1">
      <alignment vertical="center" wrapText="1"/>
    </xf>
    <xf numFmtId="0" fontId="2" fillId="4" borderId="6" xfId="0" applyFont="1" applyFill="1" applyBorder="1" applyAlignment="1" applyProtection="1">
      <alignment horizontal="center"/>
    </xf>
    <xf numFmtId="3" fontId="2" fillId="4" borderId="7" xfId="0" applyNumberFormat="1" applyFont="1" applyFill="1" applyBorder="1" applyAlignment="1" applyProtection="1">
      <alignment horizontal="center"/>
    </xf>
    <xf numFmtId="4" fontId="2" fillId="4" borderId="8" xfId="0" applyNumberFormat="1" applyFont="1" applyFill="1" applyBorder="1" applyProtection="1"/>
    <xf numFmtId="0" fontId="2" fillId="4" borderId="6" xfId="0" applyFont="1" applyFill="1" applyBorder="1" applyProtection="1"/>
    <xf numFmtId="4" fontId="2" fillId="4" borderId="7" xfId="0" applyNumberFormat="1" applyFont="1" applyFill="1" applyBorder="1" applyProtection="1"/>
    <xf numFmtId="0" fontId="2" fillId="4" borderId="4" xfId="0" applyFont="1" applyFill="1" applyBorder="1" applyAlignment="1" applyProtection="1">
      <alignment horizontal="center"/>
      <protection locked="0"/>
    </xf>
    <xf numFmtId="3" fontId="2" fillId="4" borderId="0" xfId="0" applyNumberFormat="1" applyFont="1" applyFill="1" applyBorder="1" applyProtection="1">
      <protection locked="0"/>
    </xf>
    <xf numFmtId="0" fontId="5" fillId="5" borderId="5" xfId="0" applyFont="1" applyFill="1" applyBorder="1" applyProtection="1"/>
    <xf numFmtId="0" fontId="13" fillId="0" borderId="0" xfId="1" applyAlignment="1" applyProtection="1"/>
    <xf numFmtId="0" fontId="14" fillId="0" borderId="0" xfId="1" applyFont="1" applyAlignment="1" applyProtection="1">
      <alignment horizontal="center" vertical="center" wrapText="1"/>
    </xf>
    <xf numFmtId="0" fontId="1" fillId="0" borderId="0" xfId="0" applyFont="1" applyAlignment="1" applyProtection="1">
      <alignment horizontal="center" vertical="center" wrapTex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11</xdr:col>
      <xdr:colOff>428625</xdr:colOff>
      <xdr:row>53</xdr:row>
      <xdr:rowOff>0</xdr:rowOff>
    </xdr:from>
    <xdr:to>
      <xdr:col>17</xdr:col>
      <xdr:colOff>590550</xdr:colOff>
      <xdr:row>65</xdr:row>
      <xdr:rowOff>110693</xdr:rowOff>
    </xdr:to>
    <xdr:pic>
      <xdr:nvPicPr>
        <xdr:cNvPr id="1077" name="Picture 1" descr="Range Rover Pic.jpg"/>
        <xdr:cNvPicPr>
          <a:picLocks noChangeAspect="1"/>
        </xdr:cNvPicPr>
      </xdr:nvPicPr>
      <xdr:blipFill>
        <a:blip xmlns:r="http://schemas.openxmlformats.org/officeDocument/2006/relationships" r:embed="rId1" cstate="print"/>
        <a:srcRect/>
        <a:stretch>
          <a:fillRect/>
        </a:stretch>
      </xdr:blipFill>
      <xdr:spPr bwMode="auto">
        <a:xfrm>
          <a:off x="9182100" y="11087100"/>
          <a:ext cx="5038725" cy="2510993"/>
        </a:xfrm>
        <a:prstGeom prst="rect">
          <a:avLst/>
        </a:prstGeom>
        <a:noFill/>
        <a:ln w="9525">
          <a:noFill/>
          <a:miter lim="800000"/>
          <a:headEnd/>
          <a:tailEnd/>
        </a:ln>
      </xdr:spPr>
    </xdr:pic>
    <xdr:clientData/>
  </xdr:twoCellAnchor>
  <xdr:twoCellAnchor editAs="oneCell">
    <xdr:from>
      <xdr:col>11</xdr:col>
      <xdr:colOff>466725</xdr:colOff>
      <xdr:row>7</xdr:row>
      <xdr:rowOff>28575</xdr:rowOff>
    </xdr:from>
    <xdr:to>
      <xdr:col>17</xdr:col>
      <xdr:colOff>562669</xdr:colOff>
      <xdr:row>44</xdr:row>
      <xdr:rowOff>77280</xdr:rowOff>
    </xdr:to>
    <xdr:pic>
      <xdr:nvPicPr>
        <xdr:cNvPr id="3" name="Picture 2" descr="Lease Quote.PNG"/>
        <xdr:cNvPicPr>
          <a:picLocks noChangeAspect="1"/>
        </xdr:cNvPicPr>
      </xdr:nvPicPr>
      <xdr:blipFill>
        <a:blip xmlns:r="http://schemas.openxmlformats.org/officeDocument/2006/relationships" r:embed="rId2" cstate="print"/>
        <a:stretch>
          <a:fillRect/>
        </a:stretch>
      </xdr:blipFill>
      <xdr:spPr>
        <a:xfrm>
          <a:off x="9220200" y="1628775"/>
          <a:ext cx="4972744" cy="77353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leasecompare.com/quick_lease_quotes.php?ModelYear=2013&amp;MakeID=425&amp;ModelID=116&amp;StyleID=155&amp;Make=Land+Rover&amp;Model=Range+Rover&amp;Trim=&amp;ZipCode=02554&amp;QuickQuote=-1"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B1:T86"/>
  <sheetViews>
    <sheetView showGridLines="0" tabSelected="1" zoomScaleNormal="100" workbookViewId="0"/>
  </sheetViews>
  <sheetFormatPr defaultRowHeight="15.75"/>
  <cols>
    <col min="1" max="1" width="4.140625" style="5" customWidth="1"/>
    <col min="2" max="2" width="9.140625" style="5"/>
    <col min="3" max="7" width="13.7109375" style="5" customWidth="1"/>
    <col min="8" max="8" width="8.28515625" style="5" customWidth="1"/>
    <col min="9" max="15" width="13.7109375" style="5" customWidth="1"/>
    <col min="16" max="19" width="9.140625" style="5"/>
    <col min="20" max="20" width="14.28515625" style="5" bestFit="1" customWidth="1"/>
    <col min="21" max="16384" width="9.140625" style="5"/>
  </cols>
  <sheetData>
    <row r="1" spans="2:20" ht="16.5" thickBot="1"/>
    <row r="2" spans="2:20" s="9" customFormat="1" ht="19.5" thickBot="1">
      <c r="B2" s="6" t="s">
        <v>20</v>
      </c>
      <c r="C2" s="7"/>
      <c r="D2" s="7"/>
      <c r="E2" s="7"/>
      <c r="F2" s="7"/>
      <c r="G2" s="7"/>
      <c r="H2" s="7"/>
      <c r="I2" s="7"/>
      <c r="J2" s="7"/>
      <c r="K2" s="7"/>
      <c r="L2" s="8"/>
    </row>
    <row r="3" spans="2:20" s="9" customFormat="1" ht="18.75">
      <c r="B3" s="10"/>
      <c r="C3" s="10"/>
      <c r="D3" s="10"/>
      <c r="E3" s="10"/>
      <c r="F3" s="10"/>
      <c r="G3" s="10"/>
    </row>
    <row r="4" spans="2:20" ht="19.5" thickBot="1">
      <c r="C4" s="11" t="s">
        <v>21</v>
      </c>
      <c r="I4" s="11" t="s">
        <v>22</v>
      </c>
      <c r="M4" s="12" t="s">
        <v>42</v>
      </c>
      <c r="N4" s="13"/>
      <c r="O4" s="13"/>
    </row>
    <row r="5" spans="2:20" ht="17.25" customHeight="1">
      <c r="C5" s="14" t="s">
        <v>15</v>
      </c>
      <c r="D5" s="15"/>
      <c r="E5" s="16"/>
      <c r="F5" s="17" t="s">
        <v>35</v>
      </c>
      <c r="G5" s="17"/>
      <c r="H5" s="18"/>
      <c r="I5" s="14" t="s">
        <v>15</v>
      </c>
      <c r="J5" s="15"/>
      <c r="K5" s="16"/>
      <c r="M5" s="19" t="s">
        <v>38</v>
      </c>
      <c r="N5" s="19"/>
      <c r="O5" s="19"/>
      <c r="P5" s="19"/>
      <c r="Q5" s="19"/>
    </row>
    <row r="6" spans="2:20" s="20" customFormat="1" ht="17.25" customHeight="1">
      <c r="C6" s="21" t="s">
        <v>0</v>
      </c>
      <c r="D6" s="22"/>
      <c r="E6" s="1">
        <v>90000</v>
      </c>
      <c r="F6" s="17"/>
      <c r="G6" s="17"/>
      <c r="H6" s="18"/>
      <c r="I6" s="21" t="s">
        <v>0</v>
      </c>
      <c r="J6" s="22"/>
      <c r="K6" s="23">
        <f>E6</f>
        <v>90000</v>
      </c>
      <c r="M6" s="19"/>
      <c r="N6" s="19"/>
      <c r="O6" s="19"/>
      <c r="P6" s="19"/>
      <c r="Q6" s="19"/>
    </row>
    <row r="7" spans="2:20" s="20" customFormat="1" ht="17.25">
      <c r="C7" s="21" t="s">
        <v>1</v>
      </c>
      <c r="D7" s="22"/>
      <c r="E7" s="2">
        <v>60</v>
      </c>
      <c r="F7" s="17"/>
      <c r="G7" s="17"/>
      <c r="H7" s="18"/>
      <c r="I7" s="21" t="s">
        <v>32</v>
      </c>
      <c r="J7" s="22"/>
      <c r="K7" s="2">
        <v>60</v>
      </c>
      <c r="M7" s="19"/>
      <c r="N7" s="19"/>
      <c r="O7" s="19"/>
      <c r="P7" s="19"/>
      <c r="Q7" s="19"/>
    </row>
    <row r="8" spans="2:20" s="20" customFormat="1" ht="17.25">
      <c r="C8" s="21" t="s">
        <v>4</v>
      </c>
      <c r="D8" s="22"/>
      <c r="E8" s="3">
        <v>4.156E-2</v>
      </c>
      <c r="F8" s="17"/>
      <c r="G8" s="17"/>
      <c r="H8" s="18"/>
      <c r="I8" s="21" t="s">
        <v>4</v>
      </c>
      <c r="J8" s="22"/>
      <c r="K8" s="24">
        <f>E8</f>
        <v>4.156E-2</v>
      </c>
      <c r="M8" s="25"/>
      <c r="N8" s="25"/>
      <c r="O8" s="26"/>
    </row>
    <row r="9" spans="2:20" s="20" customFormat="1" ht="17.25">
      <c r="C9" s="21" t="s">
        <v>13</v>
      </c>
      <c r="D9" s="22"/>
      <c r="E9" s="3">
        <v>0.05</v>
      </c>
      <c r="F9" s="17"/>
      <c r="G9" s="17"/>
      <c r="H9" s="18"/>
      <c r="I9" s="21" t="s">
        <v>13</v>
      </c>
      <c r="J9" s="22"/>
      <c r="K9" s="24">
        <f>E9</f>
        <v>0.05</v>
      </c>
      <c r="M9" s="25"/>
      <c r="N9" s="25"/>
      <c r="O9" s="26"/>
    </row>
    <row r="10" spans="2:20" s="20" customFormat="1" ht="18" thickBot="1">
      <c r="C10" s="27" t="s">
        <v>3</v>
      </c>
      <c r="D10" s="28"/>
      <c r="E10" s="4">
        <v>18000</v>
      </c>
      <c r="F10" s="17"/>
      <c r="G10" s="17"/>
      <c r="H10" s="18"/>
      <c r="I10" s="21" t="s">
        <v>18</v>
      </c>
      <c r="J10" s="22"/>
      <c r="K10" s="23">
        <f>E10</f>
        <v>18000</v>
      </c>
      <c r="M10" s="25"/>
      <c r="N10" s="25"/>
      <c r="O10" s="30"/>
      <c r="T10" s="31"/>
    </row>
    <row r="11" spans="2:20" ht="18" thickBot="1">
      <c r="C11" s="32" t="s">
        <v>5</v>
      </c>
      <c r="D11" s="33"/>
      <c r="E11" s="34"/>
      <c r="F11" s="17"/>
      <c r="G11" s="17"/>
      <c r="H11" s="18"/>
      <c r="I11" s="27" t="s">
        <v>19</v>
      </c>
      <c r="J11" s="28"/>
      <c r="K11" s="29">
        <f ca="1">LOOKUP($K$7,$I$39:$I$75,$K$39:$K$75)</f>
        <v>31083</v>
      </c>
      <c r="M11" s="25"/>
      <c r="N11" s="25"/>
      <c r="O11" s="30"/>
    </row>
    <row r="12" spans="2:20" ht="16.5" thickBot="1">
      <c r="C12" s="33"/>
      <c r="D12" s="33"/>
      <c r="E12" s="34"/>
      <c r="M12" s="13"/>
      <c r="N12" s="13"/>
      <c r="O12" s="13"/>
      <c r="T12" s="35"/>
    </row>
    <row r="13" spans="2:20" ht="17.25">
      <c r="C13" s="36" t="s">
        <v>16</v>
      </c>
      <c r="D13" s="37"/>
      <c r="E13" s="38"/>
      <c r="I13" s="36" t="s">
        <v>16</v>
      </c>
      <c r="J13" s="37"/>
      <c r="K13" s="38"/>
      <c r="M13" s="12"/>
      <c r="N13" s="39"/>
      <c r="O13" s="40"/>
    </row>
    <row r="14" spans="2:20" ht="17.25">
      <c r="C14" s="41" t="s">
        <v>17</v>
      </c>
      <c r="D14" s="42"/>
      <c r="E14" s="43">
        <f>E6-E10</f>
        <v>72000</v>
      </c>
      <c r="I14" s="41" t="s">
        <v>23</v>
      </c>
      <c r="J14" s="42"/>
      <c r="K14" s="43">
        <f ca="1">K6-K10-K11</f>
        <v>40917</v>
      </c>
      <c r="M14" s="25"/>
      <c r="N14" s="39"/>
      <c r="O14" s="44"/>
    </row>
    <row r="15" spans="2:20" s="20" customFormat="1" ht="17.25">
      <c r="C15" s="41" t="s">
        <v>2</v>
      </c>
      <c r="D15" s="45"/>
      <c r="E15" s="46">
        <f>E9+E8</f>
        <v>9.1560000000000002E-2</v>
      </c>
      <c r="F15" s="47" t="str">
        <f ca="1">IF(E20&lt;K20,"Verdict: Adjusted for final ownership, financing is less expensive by $"&amp;TEXT(K20-E20,"0.00")&amp;" per month.","Verdict: Adjusted for final ownership, leasing is less expensive by $"&amp;TEXT(E20-K20,"0.00")&amp;" per month.")</f>
        <v>Verdict: Adjusted for final ownership, financing is less expensive by $103.45 per month.</v>
      </c>
      <c r="G15" s="48"/>
      <c r="H15" s="49"/>
      <c r="I15" s="41" t="s">
        <v>2</v>
      </c>
      <c r="J15" s="45"/>
      <c r="K15" s="46">
        <f>K9+K8</f>
        <v>9.1560000000000002E-2</v>
      </c>
      <c r="M15" s="25"/>
      <c r="N15" s="25"/>
      <c r="O15" s="50"/>
    </row>
    <row r="16" spans="2:20" s="20" customFormat="1" ht="17.25" customHeight="1">
      <c r="C16" s="41" t="s">
        <v>6</v>
      </c>
      <c r="D16" s="45"/>
      <c r="E16" s="51">
        <f>-PMT(E15/12,E7,E14,0,0)</f>
        <v>1500.0587138576154</v>
      </c>
      <c r="F16" s="47"/>
      <c r="G16" s="48"/>
      <c r="H16" s="49"/>
      <c r="I16" s="41" t="s">
        <v>24</v>
      </c>
      <c r="J16" s="45"/>
      <c r="K16" s="52">
        <f>K15/24</f>
        <v>3.8150000000000002E-3</v>
      </c>
      <c r="M16" s="25"/>
      <c r="N16" s="25"/>
      <c r="O16" s="53"/>
    </row>
    <row r="17" spans="2:15" s="20" customFormat="1" ht="18" customHeight="1" thickBot="1">
      <c r="C17" s="54" t="s">
        <v>14</v>
      </c>
      <c r="D17" s="55"/>
      <c r="E17" s="56">
        <f>SUM(E27:E86)</f>
        <v>18003.522831457431</v>
      </c>
      <c r="F17" s="47"/>
      <c r="G17" s="48"/>
      <c r="H17" s="49"/>
      <c r="I17" s="57"/>
      <c r="J17" s="57"/>
      <c r="K17" s="96"/>
      <c r="M17" s="25"/>
      <c r="N17" s="25"/>
      <c r="O17" s="58"/>
    </row>
    <row r="18" spans="2:15" s="20" customFormat="1" ht="17.25" customHeight="1">
      <c r="C18" s="59" t="s">
        <v>41</v>
      </c>
      <c r="D18" s="60"/>
      <c r="E18" s="61">
        <f ca="1">K11/((1+E8)^(E7/12))</f>
        <v>25357.209792290541</v>
      </c>
      <c r="F18" s="47"/>
      <c r="G18" s="48"/>
      <c r="H18" s="49"/>
      <c r="I18" s="41" t="s">
        <v>33</v>
      </c>
      <c r="J18" s="45"/>
      <c r="K18" s="62">
        <f ca="1">K14/K7</f>
        <v>681.95</v>
      </c>
      <c r="M18" s="25"/>
      <c r="N18" s="25"/>
      <c r="O18" s="58"/>
    </row>
    <row r="19" spans="2:15" s="20" customFormat="1" ht="17.25" customHeight="1">
      <c r="C19" s="41" t="s">
        <v>36</v>
      </c>
      <c r="D19" s="45"/>
      <c r="E19" s="62">
        <f ca="1">E20-E16</f>
        <v>-528.29588205612606</v>
      </c>
      <c r="F19" s="47"/>
      <c r="G19" s="48"/>
      <c r="H19" s="49"/>
      <c r="I19" s="41" t="s">
        <v>34</v>
      </c>
      <c r="J19" s="45"/>
      <c r="K19" s="62">
        <f ca="1">(K6+K11-K10)*K16</f>
        <v>393.26164500000004</v>
      </c>
      <c r="M19" s="25"/>
      <c r="N19" s="25"/>
      <c r="O19" s="58"/>
    </row>
    <row r="20" spans="2:15" s="20" customFormat="1" ht="18" customHeight="1" thickBot="1">
      <c r="C20" s="54" t="s">
        <v>37</v>
      </c>
      <c r="D20" s="55"/>
      <c r="E20" s="63">
        <f ca="1">PMT(E15/12,E7,-(E14-E18),0)</f>
        <v>971.76283180148937</v>
      </c>
      <c r="F20" s="64"/>
      <c r="G20" s="65"/>
      <c r="H20" s="66"/>
      <c r="I20" s="54" t="s">
        <v>25</v>
      </c>
      <c r="J20" s="55"/>
      <c r="K20" s="63">
        <f ca="1">K19+K18</f>
        <v>1075.2116450000001</v>
      </c>
      <c r="M20" s="25"/>
      <c r="N20" s="25"/>
      <c r="O20" s="67"/>
    </row>
    <row r="21" spans="2:15" ht="15.75" customHeight="1">
      <c r="C21" s="68" t="s">
        <v>39</v>
      </c>
      <c r="D21" s="68"/>
      <c r="E21" s="68"/>
      <c r="F21" s="68"/>
      <c r="G21" s="68"/>
      <c r="H21" s="68"/>
      <c r="I21" s="68"/>
      <c r="J21" s="68"/>
      <c r="K21" s="68"/>
    </row>
    <row r="22" spans="2:15">
      <c r="C22" s="68"/>
      <c r="D22" s="68"/>
      <c r="E22" s="68"/>
      <c r="F22" s="68"/>
      <c r="G22" s="68"/>
      <c r="H22" s="68"/>
      <c r="I22" s="68"/>
      <c r="J22" s="68"/>
      <c r="K22" s="68"/>
    </row>
    <row r="23" spans="2:15">
      <c r="C23" s="68"/>
      <c r="D23" s="68"/>
      <c r="E23" s="68"/>
      <c r="F23" s="68"/>
      <c r="G23" s="68"/>
      <c r="H23" s="68"/>
      <c r="I23" s="68"/>
      <c r="J23" s="68"/>
      <c r="K23" s="68"/>
    </row>
    <row r="24" spans="2:15">
      <c r="C24" s="68"/>
      <c r="D24" s="68"/>
      <c r="E24" s="68"/>
      <c r="F24" s="68"/>
      <c r="G24" s="68"/>
      <c r="H24" s="68"/>
      <c r="I24" s="68"/>
      <c r="J24" s="68"/>
      <c r="K24" s="68"/>
    </row>
    <row r="25" spans="2:15" ht="16.5" thickBot="1"/>
    <row r="26" spans="2:15">
      <c r="B26" s="69" t="s">
        <v>7</v>
      </c>
      <c r="C26" s="70" t="s">
        <v>12</v>
      </c>
      <c r="D26" s="70" t="s">
        <v>8</v>
      </c>
      <c r="E26" s="70" t="s">
        <v>9</v>
      </c>
      <c r="F26" s="70" t="s">
        <v>10</v>
      </c>
      <c r="G26" s="71" t="s">
        <v>11</v>
      </c>
      <c r="I26" s="72" t="s">
        <v>26</v>
      </c>
      <c r="J26" s="73"/>
      <c r="K26" s="74"/>
    </row>
    <row r="27" spans="2:15">
      <c r="B27" s="75">
        <v>1</v>
      </c>
      <c r="C27" s="76">
        <f>E14</f>
        <v>72000</v>
      </c>
      <c r="D27" s="76">
        <f>$E$16</f>
        <v>1500.0587138576154</v>
      </c>
      <c r="E27" s="76">
        <f>C27*($E$15/12)</f>
        <v>549.36</v>
      </c>
      <c r="F27" s="76">
        <f>D27-E27</f>
        <v>950.69871385761542</v>
      </c>
      <c r="G27" s="77">
        <f>C27-F27</f>
        <v>71049.301286142378</v>
      </c>
      <c r="I27" s="75"/>
      <c r="J27" s="78"/>
      <c r="K27" s="79"/>
    </row>
    <row r="28" spans="2:15">
      <c r="B28" s="75">
        <f>B27+1</f>
        <v>2</v>
      </c>
      <c r="C28" s="76">
        <f>G27</f>
        <v>71049.301286142378</v>
      </c>
      <c r="D28" s="76">
        <f>$E$16</f>
        <v>1500.0587138576154</v>
      </c>
      <c r="E28" s="76">
        <f>C28*($E$15/12)</f>
        <v>542.10616881326632</v>
      </c>
      <c r="F28" s="76">
        <f>D28-E28</f>
        <v>957.95254504434911</v>
      </c>
      <c r="G28" s="77">
        <f>C28-F28</f>
        <v>70091.348741098031</v>
      </c>
      <c r="I28" s="80" t="s">
        <v>27</v>
      </c>
      <c r="J28" s="81" t="s">
        <v>28</v>
      </c>
      <c r="K28" s="79"/>
    </row>
    <row r="29" spans="2:15">
      <c r="B29" s="75">
        <f t="shared" ref="B29:B86" si="0">B28+1</f>
        <v>3</v>
      </c>
      <c r="C29" s="76">
        <f t="shared" ref="C29:C86" si="1">G28</f>
        <v>70091.348741098031</v>
      </c>
      <c r="D29" s="76">
        <f t="shared" ref="D29:D86" si="2">$E$16</f>
        <v>1500.0587138576154</v>
      </c>
      <c r="E29" s="76">
        <f t="shared" ref="E29:E86" si="3">C29*($E$15/12)</f>
        <v>534.79699089457802</v>
      </c>
      <c r="F29" s="76">
        <f t="shared" ref="F29:F86" si="4">D29-E29</f>
        <v>965.26172296303741</v>
      </c>
      <c r="G29" s="77">
        <f t="shared" ref="G29:G86" si="5">C29-F29</f>
        <v>69126.087018134989</v>
      </c>
      <c r="I29" s="94">
        <v>24</v>
      </c>
      <c r="J29" s="95">
        <v>43119</v>
      </c>
      <c r="K29" s="79"/>
    </row>
    <row r="30" spans="2:15">
      <c r="B30" s="75">
        <f t="shared" si="0"/>
        <v>4</v>
      </c>
      <c r="C30" s="76">
        <f t="shared" si="1"/>
        <v>69126.087018134989</v>
      </c>
      <c r="D30" s="76">
        <f t="shared" si="2"/>
        <v>1500.0587138576154</v>
      </c>
      <c r="E30" s="76">
        <f t="shared" si="3"/>
        <v>527.43204394837005</v>
      </c>
      <c r="F30" s="76">
        <f t="shared" si="4"/>
        <v>972.62666990924538</v>
      </c>
      <c r="G30" s="77">
        <f t="shared" si="5"/>
        <v>68153.460348225737</v>
      </c>
      <c r="I30" s="94">
        <v>36</v>
      </c>
      <c r="J30" s="95">
        <v>44632</v>
      </c>
      <c r="K30" s="79"/>
    </row>
    <row r="31" spans="2:15">
      <c r="B31" s="75">
        <f t="shared" si="0"/>
        <v>5</v>
      </c>
      <c r="C31" s="76">
        <f t="shared" si="1"/>
        <v>68153.460348225737</v>
      </c>
      <c r="D31" s="76">
        <f t="shared" si="2"/>
        <v>1500.0587138576154</v>
      </c>
      <c r="E31" s="76">
        <f t="shared" si="3"/>
        <v>520.01090245696241</v>
      </c>
      <c r="F31" s="76">
        <f t="shared" si="4"/>
        <v>980.04781140065302</v>
      </c>
      <c r="G31" s="77">
        <f t="shared" si="5"/>
        <v>67173.412536825082</v>
      </c>
      <c r="I31" s="94">
        <v>39</v>
      </c>
      <c r="J31" s="95">
        <v>43038</v>
      </c>
      <c r="K31" s="79"/>
    </row>
    <row r="32" spans="2:15">
      <c r="B32" s="75">
        <f t="shared" si="0"/>
        <v>6</v>
      </c>
      <c r="C32" s="76">
        <f t="shared" si="1"/>
        <v>67173.412536825082</v>
      </c>
      <c r="D32" s="76">
        <f t="shared" si="2"/>
        <v>1500.0587138576154</v>
      </c>
      <c r="E32" s="76">
        <f t="shared" si="3"/>
        <v>512.53313765597545</v>
      </c>
      <c r="F32" s="76">
        <f t="shared" si="4"/>
        <v>987.52557620163998</v>
      </c>
      <c r="G32" s="77">
        <f t="shared" si="5"/>
        <v>66185.886960623437</v>
      </c>
      <c r="I32" s="94">
        <v>48</v>
      </c>
      <c r="J32" s="95">
        <v>38256</v>
      </c>
      <c r="K32" s="79"/>
    </row>
    <row r="33" spans="2:18">
      <c r="B33" s="75">
        <f t="shared" si="0"/>
        <v>7</v>
      </c>
      <c r="C33" s="76">
        <f t="shared" si="1"/>
        <v>66185.886960623437</v>
      </c>
      <c r="D33" s="76">
        <f t="shared" si="2"/>
        <v>1500.0587138576154</v>
      </c>
      <c r="E33" s="76">
        <f t="shared" si="3"/>
        <v>504.99831750955684</v>
      </c>
      <c r="F33" s="76">
        <f t="shared" si="4"/>
        <v>995.06039634805859</v>
      </c>
      <c r="G33" s="77">
        <f t="shared" si="5"/>
        <v>65190.826564275376</v>
      </c>
      <c r="I33" s="94">
        <v>51</v>
      </c>
      <c r="J33" s="95">
        <v>36662</v>
      </c>
      <c r="K33" s="79"/>
    </row>
    <row r="34" spans="2:18">
      <c r="B34" s="75">
        <f t="shared" si="0"/>
        <v>8</v>
      </c>
      <c r="C34" s="76">
        <f t="shared" si="1"/>
        <v>65190.826564275376</v>
      </c>
      <c r="D34" s="76">
        <f t="shared" si="2"/>
        <v>1500.0587138576154</v>
      </c>
      <c r="E34" s="76">
        <f t="shared" si="3"/>
        <v>497.40600668542118</v>
      </c>
      <c r="F34" s="76">
        <f t="shared" si="4"/>
        <v>1002.6527071721943</v>
      </c>
      <c r="G34" s="77">
        <f t="shared" si="5"/>
        <v>64188.173857103182</v>
      </c>
      <c r="I34" s="94">
        <v>60</v>
      </c>
      <c r="J34" s="95">
        <v>31083</v>
      </c>
      <c r="K34" s="79"/>
    </row>
    <row r="35" spans="2:18">
      <c r="B35" s="75">
        <f t="shared" si="0"/>
        <v>9</v>
      </c>
      <c r="C35" s="76">
        <f t="shared" si="1"/>
        <v>64188.173857103182</v>
      </c>
      <c r="D35" s="76">
        <f t="shared" si="2"/>
        <v>1500.0587138576154</v>
      </c>
      <c r="E35" s="76">
        <f t="shared" si="3"/>
        <v>489.75576652969733</v>
      </c>
      <c r="F35" s="76">
        <f t="shared" si="4"/>
        <v>1010.3029473279181</v>
      </c>
      <c r="G35" s="77">
        <f t="shared" si="5"/>
        <v>63177.870909775265</v>
      </c>
      <c r="I35" s="75"/>
      <c r="J35" s="78"/>
      <c r="K35" s="79"/>
    </row>
    <row r="36" spans="2:18">
      <c r="B36" s="75">
        <f t="shared" si="0"/>
        <v>10</v>
      </c>
      <c r="C36" s="76">
        <f t="shared" si="1"/>
        <v>63177.870909775265</v>
      </c>
      <c r="D36" s="76">
        <f t="shared" si="2"/>
        <v>1500.0587138576154</v>
      </c>
      <c r="E36" s="76">
        <f t="shared" si="3"/>
        <v>482.04715504158531</v>
      </c>
      <c r="F36" s="76">
        <f t="shared" si="4"/>
        <v>1018.0115588160302</v>
      </c>
      <c r="G36" s="77">
        <f t="shared" si="5"/>
        <v>62159.859350959232</v>
      </c>
      <c r="I36" s="82" t="s">
        <v>29</v>
      </c>
      <c r="J36" s="83"/>
      <c r="K36" s="84"/>
    </row>
    <row r="37" spans="2:18">
      <c r="B37" s="75">
        <f t="shared" si="0"/>
        <v>11</v>
      </c>
      <c r="C37" s="76">
        <f t="shared" si="1"/>
        <v>62159.859350959232</v>
      </c>
      <c r="D37" s="76">
        <f t="shared" si="2"/>
        <v>1500.0587138576154</v>
      </c>
      <c r="E37" s="76">
        <f t="shared" si="3"/>
        <v>474.27972684781895</v>
      </c>
      <c r="F37" s="76">
        <f t="shared" si="4"/>
        <v>1025.7789870097965</v>
      </c>
      <c r="G37" s="77">
        <f t="shared" si="5"/>
        <v>61134.080363949433</v>
      </c>
      <c r="I37" s="75"/>
      <c r="J37" s="78"/>
      <c r="K37" s="79"/>
    </row>
    <row r="38" spans="2:18">
      <c r="B38" s="75">
        <f t="shared" si="0"/>
        <v>12</v>
      </c>
      <c r="C38" s="76">
        <f t="shared" si="1"/>
        <v>61134.080363949433</v>
      </c>
      <c r="D38" s="76">
        <f t="shared" si="2"/>
        <v>1500.0587138576154</v>
      </c>
      <c r="E38" s="76">
        <f t="shared" si="3"/>
        <v>466.45303317693418</v>
      </c>
      <c r="F38" s="76">
        <f t="shared" si="4"/>
        <v>1033.6056806806812</v>
      </c>
      <c r="G38" s="77">
        <f t="shared" si="5"/>
        <v>60100.474683268752</v>
      </c>
      <c r="I38" s="80" t="s">
        <v>27</v>
      </c>
      <c r="J38" s="81" t="s">
        <v>30</v>
      </c>
      <c r="K38" s="85" t="s">
        <v>31</v>
      </c>
    </row>
    <row r="39" spans="2:18">
      <c r="B39" s="75">
        <f t="shared" si="0"/>
        <v>13</v>
      </c>
      <c r="C39" s="76">
        <f t="shared" si="1"/>
        <v>60100.474683268752</v>
      </c>
      <c r="D39" s="76">
        <f t="shared" si="2"/>
        <v>1500.0587138576154</v>
      </c>
      <c r="E39" s="76">
        <f t="shared" si="3"/>
        <v>458.56662183334061</v>
      </c>
      <c r="F39" s="76">
        <f t="shared" si="4"/>
        <v>1041.4920920242748</v>
      </c>
      <c r="G39" s="77">
        <f t="shared" si="5"/>
        <v>59058.982591244479</v>
      </c>
      <c r="I39" s="80">
        <v>24</v>
      </c>
      <c r="J39" s="86">
        <f t="shared" ref="J39:J75" ca="1" si="6">IFERROR(OFFSET($J$28,MATCH(I39,$I$29:$I$34,0),0),"Not Given")</f>
        <v>43119</v>
      </c>
      <c r="K39" s="77">
        <f ca="1">J39</f>
        <v>43119</v>
      </c>
    </row>
    <row r="40" spans="2:18">
      <c r="B40" s="75">
        <f t="shared" si="0"/>
        <v>14</v>
      </c>
      <c r="C40" s="76">
        <f t="shared" si="1"/>
        <v>59058.982591244479</v>
      </c>
      <c r="D40" s="76">
        <f t="shared" si="2"/>
        <v>1500.0587138576154</v>
      </c>
      <c r="E40" s="76">
        <f t="shared" si="3"/>
        <v>450.62003717119541</v>
      </c>
      <c r="F40" s="76">
        <f t="shared" si="4"/>
        <v>1049.43867668642</v>
      </c>
      <c r="G40" s="77">
        <f t="shared" si="5"/>
        <v>58009.54391455806</v>
      </c>
      <c r="I40" s="80">
        <f>I39+1</f>
        <v>25</v>
      </c>
      <c r="J40" s="86" t="str">
        <f t="shared" ca="1" si="6"/>
        <v>Not Given</v>
      </c>
      <c r="K40" s="77">
        <f t="shared" ref="K40:K75" ca="1" si="7">LOOKUP(I40,$I$29:$I$34,$J$29:$J$34)+((I40-LOOKUP(I40,$I$29:$I$34))/(OFFSET($I$29,MATCH(LOOKUP(I40,$I$29:$I$34),$I$29:$I$34),0)-LOOKUP(I40,$I$29:$I$34)))*((OFFSET($J$29,MATCH(LOOKUP(I40,$I$29:$I$34),$I$29:$I$34,0),0)-LOOKUP(I40,$I$29:$I$34,$J$29:$J$34)))</f>
        <v>43245.083333333336</v>
      </c>
    </row>
    <row r="41" spans="2:18">
      <c r="B41" s="75">
        <f t="shared" si="0"/>
        <v>15</v>
      </c>
      <c r="C41" s="76">
        <f t="shared" si="1"/>
        <v>58009.54391455806</v>
      </c>
      <c r="D41" s="76">
        <f t="shared" si="2"/>
        <v>1500.0587138576154</v>
      </c>
      <c r="E41" s="76">
        <f t="shared" si="3"/>
        <v>442.61282006807801</v>
      </c>
      <c r="F41" s="76">
        <f t="shared" si="4"/>
        <v>1057.4458937895374</v>
      </c>
      <c r="G41" s="77">
        <f t="shared" si="5"/>
        <v>56952.098020768521</v>
      </c>
      <c r="I41" s="80">
        <f t="shared" ref="I41:I75" si="8">I40+1</f>
        <v>26</v>
      </c>
      <c r="J41" s="86" t="str">
        <f t="shared" ca="1" si="6"/>
        <v>Not Given</v>
      </c>
      <c r="K41" s="77">
        <f t="shared" ca="1" si="7"/>
        <v>43371.166666666664</v>
      </c>
    </row>
    <row r="42" spans="2:18">
      <c r="B42" s="75">
        <f t="shared" si="0"/>
        <v>16</v>
      </c>
      <c r="C42" s="76">
        <f t="shared" si="1"/>
        <v>56952.098020768521</v>
      </c>
      <c r="D42" s="76">
        <f t="shared" si="2"/>
        <v>1500.0587138576154</v>
      </c>
      <c r="E42" s="76">
        <f t="shared" si="3"/>
        <v>434.54450789846385</v>
      </c>
      <c r="F42" s="76">
        <f t="shared" si="4"/>
        <v>1065.5142059591517</v>
      </c>
      <c r="G42" s="77">
        <f t="shared" si="5"/>
        <v>55886.583814809368</v>
      </c>
      <c r="I42" s="80">
        <f t="shared" si="8"/>
        <v>27</v>
      </c>
      <c r="J42" s="86" t="str">
        <f t="shared" ca="1" si="6"/>
        <v>Not Given</v>
      </c>
      <c r="K42" s="77">
        <f t="shared" ca="1" si="7"/>
        <v>43497.25</v>
      </c>
    </row>
    <row r="43" spans="2:18">
      <c r="B43" s="75">
        <f t="shared" si="0"/>
        <v>17</v>
      </c>
      <c r="C43" s="76">
        <f t="shared" si="1"/>
        <v>55886.583814809368</v>
      </c>
      <c r="D43" s="76">
        <f t="shared" si="2"/>
        <v>1500.0587138576154</v>
      </c>
      <c r="E43" s="76">
        <f t="shared" si="3"/>
        <v>426.41463450699553</v>
      </c>
      <c r="F43" s="76">
        <f t="shared" si="4"/>
        <v>1073.6440793506199</v>
      </c>
      <c r="G43" s="77">
        <f t="shared" si="5"/>
        <v>54812.939735458749</v>
      </c>
      <c r="I43" s="80">
        <f t="shared" si="8"/>
        <v>28</v>
      </c>
      <c r="J43" s="86" t="str">
        <f t="shared" ca="1" si="6"/>
        <v>Not Given</v>
      </c>
      <c r="K43" s="77">
        <f t="shared" ca="1" si="7"/>
        <v>43623.333333333336</v>
      </c>
    </row>
    <row r="44" spans="2:18">
      <c r="B44" s="75">
        <f t="shared" si="0"/>
        <v>18</v>
      </c>
      <c r="C44" s="76">
        <f t="shared" si="1"/>
        <v>54812.939735458749</v>
      </c>
      <c r="D44" s="76">
        <f t="shared" si="2"/>
        <v>1500.0587138576154</v>
      </c>
      <c r="E44" s="76">
        <f t="shared" si="3"/>
        <v>418.22273018155028</v>
      </c>
      <c r="F44" s="76">
        <f t="shared" si="4"/>
        <v>1081.8359836760651</v>
      </c>
      <c r="G44" s="77">
        <f t="shared" si="5"/>
        <v>53731.103751782684</v>
      </c>
      <c r="I44" s="80">
        <f t="shared" si="8"/>
        <v>29</v>
      </c>
      <c r="J44" s="86" t="str">
        <f t="shared" ca="1" si="6"/>
        <v>Not Given</v>
      </c>
      <c r="K44" s="77">
        <f t="shared" ca="1" si="7"/>
        <v>43749.416666666664</v>
      </c>
    </row>
    <row r="45" spans="2:18">
      <c r="B45" s="75">
        <f t="shared" si="0"/>
        <v>19</v>
      </c>
      <c r="C45" s="76">
        <f t="shared" si="1"/>
        <v>53731.103751782684</v>
      </c>
      <c r="D45" s="76">
        <f t="shared" si="2"/>
        <v>1500.0587138576154</v>
      </c>
      <c r="E45" s="76">
        <f t="shared" si="3"/>
        <v>409.9683216261019</v>
      </c>
      <c r="F45" s="76">
        <f t="shared" si="4"/>
        <v>1090.0903922315135</v>
      </c>
      <c r="G45" s="77">
        <f t="shared" si="5"/>
        <v>52641.013359551172</v>
      </c>
      <c r="I45" s="80">
        <f t="shared" si="8"/>
        <v>30</v>
      </c>
      <c r="J45" s="86" t="str">
        <f t="shared" ca="1" si="6"/>
        <v>Not Given</v>
      </c>
      <c r="K45" s="77">
        <f t="shared" ca="1" si="7"/>
        <v>43875.5</v>
      </c>
    </row>
    <row r="46" spans="2:18">
      <c r="B46" s="75">
        <f t="shared" si="0"/>
        <v>20</v>
      </c>
      <c r="C46" s="76">
        <f t="shared" si="1"/>
        <v>52641.013359551172</v>
      </c>
      <c r="D46" s="76">
        <f t="shared" si="2"/>
        <v>1500.0587138576154</v>
      </c>
      <c r="E46" s="76">
        <f t="shared" si="3"/>
        <v>401.65093193337549</v>
      </c>
      <c r="F46" s="76">
        <f t="shared" si="4"/>
        <v>1098.40778192424</v>
      </c>
      <c r="G46" s="77">
        <f t="shared" si="5"/>
        <v>51542.605577626935</v>
      </c>
      <c r="I46" s="80">
        <f t="shared" si="8"/>
        <v>31</v>
      </c>
      <c r="J46" s="86" t="str">
        <f t="shared" ca="1" si="6"/>
        <v>Not Given</v>
      </c>
      <c r="K46" s="77">
        <f t="shared" ca="1" si="7"/>
        <v>44001.583333333336</v>
      </c>
      <c r="M46" s="5" t="s">
        <v>43</v>
      </c>
      <c r="N46" s="97"/>
    </row>
    <row r="47" spans="2:18" ht="15.75" customHeight="1">
      <c r="B47" s="75">
        <f t="shared" si="0"/>
        <v>21</v>
      </c>
      <c r="C47" s="76">
        <f t="shared" si="1"/>
        <v>51542.605577626935</v>
      </c>
      <c r="D47" s="76">
        <f t="shared" si="2"/>
        <v>1500.0587138576154</v>
      </c>
      <c r="E47" s="76">
        <f t="shared" si="3"/>
        <v>393.27008055729357</v>
      </c>
      <c r="F47" s="76">
        <f t="shared" si="4"/>
        <v>1106.7886333003219</v>
      </c>
      <c r="G47" s="77">
        <f t="shared" si="5"/>
        <v>50435.816944326616</v>
      </c>
      <c r="I47" s="80">
        <f t="shared" si="8"/>
        <v>32</v>
      </c>
      <c r="J47" s="86" t="str">
        <f t="shared" ca="1" si="6"/>
        <v>Not Given</v>
      </c>
      <c r="K47" s="77">
        <f t="shared" ca="1" si="7"/>
        <v>44127.666666666664</v>
      </c>
      <c r="M47" s="98" t="s">
        <v>44</v>
      </c>
      <c r="N47" s="99"/>
      <c r="O47" s="99"/>
      <c r="P47" s="99"/>
      <c r="Q47" s="99"/>
      <c r="R47" s="88"/>
    </row>
    <row r="48" spans="2:18">
      <c r="B48" s="75">
        <f t="shared" si="0"/>
        <v>22</v>
      </c>
      <c r="C48" s="76">
        <f t="shared" si="1"/>
        <v>50435.816944326616</v>
      </c>
      <c r="D48" s="76">
        <f t="shared" si="2"/>
        <v>1500.0587138576154</v>
      </c>
      <c r="E48" s="76">
        <f t="shared" si="3"/>
        <v>384.82528328521209</v>
      </c>
      <c r="F48" s="76">
        <f t="shared" si="4"/>
        <v>1115.2334305724034</v>
      </c>
      <c r="G48" s="77">
        <f t="shared" si="5"/>
        <v>49320.583513754216</v>
      </c>
      <c r="I48" s="80">
        <f t="shared" si="8"/>
        <v>33</v>
      </c>
      <c r="J48" s="86" t="str">
        <f t="shared" ca="1" si="6"/>
        <v>Not Given</v>
      </c>
      <c r="K48" s="77">
        <f t="shared" ca="1" si="7"/>
        <v>44253.75</v>
      </c>
      <c r="M48" s="99"/>
      <c r="N48" s="99"/>
      <c r="O48" s="99"/>
      <c r="P48" s="99"/>
      <c r="Q48" s="99"/>
      <c r="R48" s="88"/>
    </row>
    <row r="49" spans="2:18">
      <c r="B49" s="75">
        <f t="shared" si="0"/>
        <v>23</v>
      </c>
      <c r="C49" s="76">
        <f t="shared" si="1"/>
        <v>49320.583513754216</v>
      </c>
      <c r="D49" s="76">
        <f t="shared" si="2"/>
        <v>1500.0587138576154</v>
      </c>
      <c r="E49" s="76">
        <f t="shared" si="3"/>
        <v>376.3160522099447</v>
      </c>
      <c r="F49" s="76">
        <f t="shared" si="4"/>
        <v>1123.7426616476707</v>
      </c>
      <c r="G49" s="77">
        <f t="shared" si="5"/>
        <v>48196.840852106543</v>
      </c>
      <c r="I49" s="80">
        <f t="shared" si="8"/>
        <v>34</v>
      </c>
      <c r="J49" s="86" t="str">
        <f t="shared" ca="1" si="6"/>
        <v>Not Given</v>
      </c>
      <c r="K49" s="77">
        <f t="shared" ca="1" si="7"/>
        <v>44379.833333333336</v>
      </c>
      <c r="M49" s="99"/>
      <c r="N49" s="99"/>
      <c r="O49" s="99"/>
      <c r="P49" s="99"/>
      <c r="Q49" s="99"/>
      <c r="R49" s="88"/>
    </row>
    <row r="50" spans="2:18">
      <c r="B50" s="75">
        <f t="shared" si="0"/>
        <v>24</v>
      </c>
      <c r="C50" s="76">
        <f t="shared" si="1"/>
        <v>48196.840852106543</v>
      </c>
      <c r="D50" s="76">
        <f t="shared" si="2"/>
        <v>1500.0587138576154</v>
      </c>
      <c r="E50" s="76">
        <f t="shared" si="3"/>
        <v>367.74189570157296</v>
      </c>
      <c r="F50" s="76">
        <f t="shared" si="4"/>
        <v>1132.3168181560425</v>
      </c>
      <c r="G50" s="77">
        <f t="shared" si="5"/>
        <v>47064.524033950504</v>
      </c>
      <c r="I50" s="80">
        <f t="shared" si="8"/>
        <v>35</v>
      </c>
      <c r="J50" s="86" t="str">
        <f t="shared" ca="1" si="6"/>
        <v>Not Given</v>
      </c>
      <c r="K50" s="77">
        <f t="shared" ca="1" si="7"/>
        <v>44505.916666666664</v>
      </c>
      <c r="M50" s="87" t="s">
        <v>40</v>
      </c>
      <c r="N50" s="87"/>
      <c r="O50" s="87"/>
      <c r="P50" s="87"/>
      <c r="Q50" s="87"/>
    </row>
    <row r="51" spans="2:18">
      <c r="B51" s="75">
        <f t="shared" si="0"/>
        <v>25</v>
      </c>
      <c r="C51" s="76">
        <f t="shared" si="1"/>
        <v>47064.524033950504</v>
      </c>
      <c r="D51" s="76">
        <f t="shared" si="2"/>
        <v>1500.0587138576154</v>
      </c>
      <c r="E51" s="76">
        <f t="shared" si="3"/>
        <v>359.10231837904234</v>
      </c>
      <c r="F51" s="76">
        <f t="shared" si="4"/>
        <v>1140.9563954785731</v>
      </c>
      <c r="G51" s="77">
        <f t="shared" si="5"/>
        <v>45923.567638471934</v>
      </c>
      <c r="I51" s="80">
        <f t="shared" si="8"/>
        <v>36</v>
      </c>
      <c r="J51" s="86">
        <f t="shared" ca="1" si="6"/>
        <v>44632</v>
      </c>
      <c r="K51" s="77">
        <f t="shared" ca="1" si="7"/>
        <v>44632</v>
      </c>
      <c r="M51" s="87"/>
      <c r="N51" s="87"/>
      <c r="O51" s="87"/>
      <c r="P51" s="87"/>
      <c r="Q51" s="87"/>
    </row>
    <row r="52" spans="2:18">
      <c r="B52" s="75">
        <f t="shared" si="0"/>
        <v>26</v>
      </c>
      <c r="C52" s="76">
        <f t="shared" si="1"/>
        <v>45923.567638471934</v>
      </c>
      <c r="D52" s="76">
        <f t="shared" si="2"/>
        <v>1500.0587138576154</v>
      </c>
      <c r="E52" s="76">
        <f t="shared" si="3"/>
        <v>350.39682108154085</v>
      </c>
      <c r="F52" s="76">
        <f t="shared" si="4"/>
        <v>1149.6618927760746</v>
      </c>
      <c r="G52" s="77">
        <f t="shared" si="5"/>
        <v>44773.905745695862</v>
      </c>
      <c r="I52" s="80">
        <f t="shared" si="8"/>
        <v>37</v>
      </c>
      <c r="J52" s="86" t="str">
        <f t="shared" ca="1" si="6"/>
        <v>Not Given</v>
      </c>
      <c r="K52" s="77">
        <f t="shared" ca="1" si="7"/>
        <v>44100.666666666664</v>
      </c>
      <c r="M52" s="87"/>
      <c r="N52" s="87"/>
      <c r="O52" s="87"/>
      <c r="P52" s="87"/>
      <c r="Q52" s="87"/>
    </row>
    <row r="53" spans="2:18">
      <c r="B53" s="75">
        <f t="shared" si="0"/>
        <v>27</v>
      </c>
      <c r="C53" s="76">
        <f t="shared" si="1"/>
        <v>44773.905745695862</v>
      </c>
      <c r="D53" s="76">
        <f t="shared" si="2"/>
        <v>1500.0587138576154</v>
      </c>
      <c r="E53" s="76">
        <f t="shared" si="3"/>
        <v>341.62490083965946</v>
      </c>
      <c r="F53" s="76">
        <f t="shared" si="4"/>
        <v>1158.433813017956</v>
      </c>
      <c r="G53" s="77">
        <f t="shared" si="5"/>
        <v>43615.471932677909</v>
      </c>
      <c r="I53" s="80">
        <f t="shared" si="8"/>
        <v>38</v>
      </c>
      <c r="J53" s="86" t="str">
        <f t="shared" ca="1" si="6"/>
        <v>Not Given</v>
      </c>
      <c r="K53" s="77">
        <f t="shared" ca="1" si="7"/>
        <v>43569.333333333336</v>
      </c>
    </row>
    <row r="54" spans="2:18">
      <c r="B54" s="75">
        <f t="shared" si="0"/>
        <v>28</v>
      </c>
      <c r="C54" s="76">
        <f t="shared" si="1"/>
        <v>43615.471932677909</v>
      </c>
      <c r="D54" s="76">
        <f t="shared" si="2"/>
        <v>1500.0587138576154</v>
      </c>
      <c r="E54" s="76">
        <f t="shared" si="3"/>
        <v>332.78605084633244</v>
      </c>
      <c r="F54" s="76">
        <f t="shared" si="4"/>
        <v>1167.2726630112829</v>
      </c>
      <c r="G54" s="77">
        <f t="shared" si="5"/>
        <v>42448.199269666628</v>
      </c>
      <c r="I54" s="80">
        <f t="shared" si="8"/>
        <v>39</v>
      </c>
      <c r="J54" s="86">
        <f t="shared" ca="1" si="6"/>
        <v>43038</v>
      </c>
      <c r="K54" s="77">
        <f t="shared" ca="1" si="7"/>
        <v>43038</v>
      </c>
    </row>
    <row r="55" spans="2:18">
      <c r="B55" s="75">
        <f t="shared" si="0"/>
        <v>29</v>
      </c>
      <c r="C55" s="76">
        <f t="shared" si="1"/>
        <v>42448.199269666628</v>
      </c>
      <c r="D55" s="76">
        <f t="shared" si="2"/>
        <v>1500.0587138576154</v>
      </c>
      <c r="E55" s="76">
        <f t="shared" si="3"/>
        <v>323.87976042755639</v>
      </c>
      <c r="F55" s="76">
        <f t="shared" si="4"/>
        <v>1176.178953430059</v>
      </c>
      <c r="G55" s="77">
        <f t="shared" si="5"/>
        <v>41272.020316236565</v>
      </c>
      <c r="I55" s="80">
        <f t="shared" si="8"/>
        <v>40</v>
      </c>
      <c r="J55" s="86" t="str">
        <f t="shared" ca="1" si="6"/>
        <v>Not Given</v>
      </c>
      <c r="K55" s="77">
        <f t="shared" ca="1" si="7"/>
        <v>42506.666666666664</v>
      </c>
    </row>
    <row r="56" spans="2:18">
      <c r="B56" s="75">
        <f t="shared" si="0"/>
        <v>30</v>
      </c>
      <c r="C56" s="76">
        <f t="shared" si="1"/>
        <v>41272.020316236565</v>
      </c>
      <c r="D56" s="76">
        <f t="shared" si="2"/>
        <v>1500.0587138576154</v>
      </c>
      <c r="E56" s="76">
        <f t="shared" si="3"/>
        <v>314.90551501288502</v>
      </c>
      <c r="F56" s="76">
        <f t="shared" si="4"/>
        <v>1185.1531988447305</v>
      </c>
      <c r="G56" s="77">
        <f t="shared" si="5"/>
        <v>40086.867117391834</v>
      </c>
      <c r="I56" s="80">
        <f t="shared" si="8"/>
        <v>41</v>
      </c>
      <c r="J56" s="86" t="str">
        <f t="shared" ca="1" si="6"/>
        <v>Not Given</v>
      </c>
      <c r="K56" s="77">
        <f t="shared" ca="1" si="7"/>
        <v>41975.333333333336</v>
      </c>
    </row>
    <row r="57" spans="2:18">
      <c r="B57" s="75">
        <f t="shared" si="0"/>
        <v>31</v>
      </c>
      <c r="C57" s="76">
        <f t="shared" si="1"/>
        <v>40086.867117391834</v>
      </c>
      <c r="D57" s="76">
        <f t="shared" si="2"/>
        <v>1500.0587138576154</v>
      </c>
      <c r="E57" s="76">
        <f t="shared" si="3"/>
        <v>305.86279610569972</v>
      </c>
      <c r="F57" s="76">
        <f t="shared" si="4"/>
        <v>1194.1959177519157</v>
      </c>
      <c r="G57" s="77">
        <f t="shared" si="5"/>
        <v>38892.671199639917</v>
      </c>
      <c r="I57" s="80">
        <f t="shared" si="8"/>
        <v>42</v>
      </c>
      <c r="J57" s="86" t="str">
        <f t="shared" ca="1" si="6"/>
        <v>Not Given</v>
      </c>
      <c r="K57" s="77">
        <f t="shared" ca="1" si="7"/>
        <v>41444</v>
      </c>
    </row>
    <row r="58" spans="2:18">
      <c r="B58" s="75">
        <f t="shared" si="0"/>
        <v>32</v>
      </c>
      <c r="C58" s="76">
        <f t="shared" si="1"/>
        <v>38892.671199639917</v>
      </c>
      <c r="D58" s="76">
        <f t="shared" si="2"/>
        <v>1500.0587138576154</v>
      </c>
      <c r="E58" s="76">
        <f t="shared" si="3"/>
        <v>296.75108125325261</v>
      </c>
      <c r="F58" s="76">
        <f t="shared" si="4"/>
        <v>1203.3076326043629</v>
      </c>
      <c r="G58" s="77">
        <f t="shared" si="5"/>
        <v>37689.363567035558</v>
      </c>
      <c r="I58" s="80">
        <f t="shared" si="8"/>
        <v>43</v>
      </c>
      <c r="J58" s="86" t="str">
        <f t="shared" ca="1" si="6"/>
        <v>Not Given</v>
      </c>
      <c r="K58" s="77">
        <f t="shared" ca="1" si="7"/>
        <v>40912.666666666664</v>
      </c>
    </row>
    <row r="59" spans="2:18">
      <c r="B59" s="75">
        <f t="shared" si="0"/>
        <v>33</v>
      </c>
      <c r="C59" s="76">
        <f t="shared" si="1"/>
        <v>37689.363567035558</v>
      </c>
      <c r="D59" s="76">
        <f t="shared" si="2"/>
        <v>1500.0587138576154</v>
      </c>
      <c r="E59" s="76">
        <f t="shared" si="3"/>
        <v>287.56984401648134</v>
      </c>
      <c r="F59" s="76">
        <f t="shared" si="4"/>
        <v>1212.4888698411341</v>
      </c>
      <c r="G59" s="77">
        <f t="shared" si="5"/>
        <v>36476.87469719442</v>
      </c>
      <c r="I59" s="80">
        <f t="shared" si="8"/>
        <v>44</v>
      </c>
      <c r="J59" s="86" t="str">
        <f t="shared" ca="1" si="6"/>
        <v>Not Given</v>
      </c>
      <c r="K59" s="77">
        <f t="shared" ca="1" si="7"/>
        <v>40381.333333333336</v>
      </c>
    </row>
    <row r="60" spans="2:18">
      <c r="B60" s="75">
        <f t="shared" si="0"/>
        <v>34</v>
      </c>
      <c r="C60" s="76">
        <f t="shared" si="1"/>
        <v>36476.87469719442</v>
      </c>
      <c r="D60" s="76">
        <f t="shared" si="2"/>
        <v>1500.0587138576154</v>
      </c>
      <c r="E60" s="76">
        <f t="shared" si="3"/>
        <v>278.31855393959347</v>
      </c>
      <c r="F60" s="76">
        <f t="shared" si="4"/>
        <v>1221.7401599180221</v>
      </c>
      <c r="G60" s="77">
        <f t="shared" si="5"/>
        <v>35255.134537276397</v>
      </c>
      <c r="I60" s="80">
        <f t="shared" si="8"/>
        <v>45</v>
      </c>
      <c r="J60" s="86" t="str">
        <f t="shared" ca="1" si="6"/>
        <v>Not Given</v>
      </c>
      <c r="K60" s="77">
        <f t="shared" ca="1" si="7"/>
        <v>39850</v>
      </c>
    </row>
    <row r="61" spans="2:18">
      <c r="B61" s="75">
        <f t="shared" si="0"/>
        <v>35</v>
      </c>
      <c r="C61" s="76">
        <f t="shared" si="1"/>
        <v>35255.134537276397</v>
      </c>
      <c r="D61" s="76">
        <f t="shared" si="2"/>
        <v>1500.0587138576154</v>
      </c>
      <c r="E61" s="76">
        <f t="shared" si="3"/>
        <v>268.99667651941894</v>
      </c>
      <c r="F61" s="76">
        <f t="shared" si="4"/>
        <v>1231.0620373381964</v>
      </c>
      <c r="G61" s="77">
        <f t="shared" si="5"/>
        <v>34024.0724999382</v>
      </c>
      <c r="I61" s="80">
        <f t="shared" si="8"/>
        <v>46</v>
      </c>
      <c r="J61" s="86" t="str">
        <f t="shared" ca="1" si="6"/>
        <v>Not Given</v>
      </c>
      <c r="K61" s="77">
        <f t="shared" ca="1" si="7"/>
        <v>39318.666666666664</v>
      </c>
    </row>
    <row r="62" spans="2:18">
      <c r="B62" s="75">
        <f t="shared" si="0"/>
        <v>36</v>
      </c>
      <c r="C62" s="76">
        <f t="shared" si="1"/>
        <v>34024.0724999382</v>
      </c>
      <c r="D62" s="76">
        <f t="shared" si="2"/>
        <v>1500.0587138576154</v>
      </c>
      <c r="E62" s="76">
        <f t="shared" si="3"/>
        <v>259.60367317452847</v>
      </c>
      <c r="F62" s="76">
        <f t="shared" si="4"/>
        <v>1240.455040683087</v>
      </c>
      <c r="G62" s="77">
        <f t="shared" si="5"/>
        <v>32783.617459255111</v>
      </c>
      <c r="I62" s="80">
        <f t="shared" si="8"/>
        <v>47</v>
      </c>
      <c r="J62" s="86" t="str">
        <f t="shared" ca="1" si="6"/>
        <v>Not Given</v>
      </c>
      <c r="K62" s="77">
        <f t="shared" ca="1" si="7"/>
        <v>38787.333333333336</v>
      </c>
    </row>
    <row r="63" spans="2:18">
      <c r="B63" s="75">
        <f t="shared" si="0"/>
        <v>37</v>
      </c>
      <c r="C63" s="76">
        <f t="shared" si="1"/>
        <v>32783.617459255111</v>
      </c>
      <c r="D63" s="76">
        <f t="shared" si="2"/>
        <v>1500.0587138576154</v>
      </c>
      <c r="E63" s="76">
        <f t="shared" si="3"/>
        <v>250.13900121411652</v>
      </c>
      <c r="F63" s="76">
        <f t="shared" si="4"/>
        <v>1249.919712643499</v>
      </c>
      <c r="G63" s="77">
        <f t="shared" si="5"/>
        <v>31533.697746611611</v>
      </c>
      <c r="I63" s="80">
        <f t="shared" si="8"/>
        <v>48</v>
      </c>
      <c r="J63" s="86">
        <f t="shared" ca="1" si="6"/>
        <v>38256</v>
      </c>
      <c r="K63" s="77">
        <f t="shared" ca="1" si="7"/>
        <v>38256</v>
      </c>
    </row>
    <row r="64" spans="2:18">
      <c r="B64" s="75">
        <f t="shared" si="0"/>
        <v>38</v>
      </c>
      <c r="C64" s="76">
        <f t="shared" si="1"/>
        <v>31533.697746611611</v>
      </c>
      <c r="D64" s="76">
        <f t="shared" si="2"/>
        <v>1500.0587138576154</v>
      </c>
      <c r="E64" s="76">
        <f t="shared" si="3"/>
        <v>240.6021138066466</v>
      </c>
      <c r="F64" s="76">
        <f t="shared" si="4"/>
        <v>1259.4566000509687</v>
      </c>
      <c r="G64" s="77">
        <f t="shared" si="5"/>
        <v>30274.241146560642</v>
      </c>
      <c r="I64" s="80">
        <f t="shared" si="8"/>
        <v>49</v>
      </c>
      <c r="J64" s="86" t="str">
        <f t="shared" ca="1" si="6"/>
        <v>Not Given</v>
      </c>
      <c r="K64" s="77">
        <f t="shared" ca="1" si="7"/>
        <v>37724.666666666664</v>
      </c>
    </row>
    <row r="65" spans="2:11">
      <c r="B65" s="75">
        <f t="shared" si="0"/>
        <v>39</v>
      </c>
      <c r="C65" s="76">
        <f t="shared" si="1"/>
        <v>30274.241146560642</v>
      </c>
      <c r="D65" s="76">
        <f t="shared" si="2"/>
        <v>1500.0587138576154</v>
      </c>
      <c r="E65" s="76">
        <f t="shared" si="3"/>
        <v>230.9924599482577</v>
      </c>
      <c r="F65" s="76">
        <f t="shared" si="4"/>
        <v>1269.0662539093578</v>
      </c>
      <c r="G65" s="77">
        <f t="shared" si="5"/>
        <v>29005.174892651285</v>
      </c>
      <c r="I65" s="80">
        <f t="shared" si="8"/>
        <v>50</v>
      </c>
      <c r="J65" s="86" t="str">
        <f t="shared" ca="1" si="6"/>
        <v>Not Given</v>
      </c>
      <c r="K65" s="77">
        <f t="shared" ca="1" si="7"/>
        <v>37193.333333333336</v>
      </c>
    </row>
    <row r="66" spans="2:11">
      <c r="B66" s="75">
        <f t="shared" si="0"/>
        <v>40</v>
      </c>
      <c r="C66" s="76">
        <f t="shared" si="1"/>
        <v>29005.174892651285</v>
      </c>
      <c r="D66" s="76">
        <f t="shared" si="2"/>
        <v>1500.0587138576154</v>
      </c>
      <c r="E66" s="76">
        <f t="shared" si="3"/>
        <v>221.3094844309293</v>
      </c>
      <c r="F66" s="76">
        <f t="shared" si="4"/>
        <v>1278.749229426686</v>
      </c>
      <c r="G66" s="77">
        <f t="shared" si="5"/>
        <v>27726.4256632246</v>
      </c>
      <c r="I66" s="80">
        <f t="shared" si="8"/>
        <v>51</v>
      </c>
      <c r="J66" s="86">
        <f t="shared" ca="1" si="6"/>
        <v>36662</v>
      </c>
      <c r="K66" s="77">
        <f t="shared" ca="1" si="7"/>
        <v>36662</v>
      </c>
    </row>
    <row r="67" spans="2:11">
      <c r="B67" s="75">
        <f t="shared" si="0"/>
        <v>41</v>
      </c>
      <c r="C67" s="76">
        <f t="shared" si="1"/>
        <v>27726.4256632246</v>
      </c>
      <c r="D67" s="76">
        <f t="shared" si="2"/>
        <v>1500.0587138576154</v>
      </c>
      <c r="E67" s="76">
        <f t="shared" si="3"/>
        <v>211.55262781040372</v>
      </c>
      <c r="F67" s="76">
        <f t="shared" si="4"/>
        <v>1288.5060860472117</v>
      </c>
      <c r="G67" s="77">
        <f t="shared" si="5"/>
        <v>26437.919577177388</v>
      </c>
      <c r="I67" s="80">
        <f t="shared" si="8"/>
        <v>52</v>
      </c>
      <c r="J67" s="86" t="str">
        <f t="shared" ca="1" si="6"/>
        <v>Not Given</v>
      </c>
      <c r="K67" s="77">
        <f t="shared" ca="1" si="7"/>
        <v>36042.111111111109</v>
      </c>
    </row>
    <row r="68" spans="2:11">
      <c r="B68" s="75">
        <f t="shared" si="0"/>
        <v>42</v>
      </c>
      <c r="C68" s="76">
        <f t="shared" si="1"/>
        <v>26437.919577177388</v>
      </c>
      <c r="D68" s="76">
        <f t="shared" si="2"/>
        <v>1500.0587138576154</v>
      </c>
      <c r="E68" s="76">
        <f t="shared" si="3"/>
        <v>201.72132637386349</v>
      </c>
      <c r="F68" s="76">
        <f t="shared" si="4"/>
        <v>1298.3373874837519</v>
      </c>
      <c r="G68" s="77">
        <f t="shared" si="5"/>
        <v>25139.582189693636</v>
      </c>
      <c r="I68" s="80">
        <f t="shared" si="8"/>
        <v>53</v>
      </c>
      <c r="J68" s="86" t="str">
        <f t="shared" ca="1" si="6"/>
        <v>Not Given</v>
      </c>
      <c r="K68" s="77">
        <f t="shared" ca="1" si="7"/>
        <v>35422.222222222219</v>
      </c>
    </row>
    <row r="69" spans="2:11">
      <c r="B69" s="75">
        <f t="shared" si="0"/>
        <v>43</v>
      </c>
      <c r="C69" s="76">
        <f t="shared" si="1"/>
        <v>25139.582189693636</v>
      </c>
      <c r="D69" s="76">
        <f t="shared" si="2"/>
        <v>1500.0587138576154</v>
      </c>
      <c r="E69" s="76">
        <f t="shared" si="3"/>
        <v>191.81501210736246</v>
      </c>
      <c r="F69" s="76">
        <f t="shared" si="4"/>
        <v>1308.243701750253</v>
      </c>
      <c r="G69" s="77">
        <f t="shared" si="5"/>
        <v>23831.338487943383</v>
      </c>
      <c r="I69" s="80">
        <f t="shared" si="8"/>
        <v>54</v>
      </c>
      <c r="J69" s="86" t="str">
        <f t="shared" ca="1" si="6"/>
        <v>Not Given</v>
      </c>
      <c r="K69" s="77">
        <f t="shared" ca="1" si="7"/>
        <v>34802.333333333336</v>
      </c>
    </row>
    <row r="70" spans="2:11">
      <c r="B70" s="75">
        <f t="shared" si="0"/>
        <v>44</v>
      </c>
      <c r="C70" s="76">
        <f t="shared" si="1"/>
        <v>23831.338487943383</v>
      </c>
      <c r="D70" s="76">
        <f t="shared" si="2"/>
        <v>1500.0587138576154</v>
      </c>
      <c r="E70" s="76">
        <f t="shared" si="3"/>
        <v>181.83311266300802</v>
      </c>
      <c r="F70" s="76">
        <f t="shared" si="4"/>
        <v>1318.2256011946074</v>
      </c>
      <c r="G70" s="77">
        <f t="shared" si="5"/>
        <v>22513.112886748775</v>
      </c>
      <c r="I70" s="80">
        <f t="shared" si="8"/>
        <v>55</v>
      </c>
      <c r="J70" s="86" t="str">
        <f t="shared" ca="1" si="6"/>
        <v>Not Given</v>
      </c>
      <c r="K70" s="77">
        <f t="shared" ca="1" si="7"/>
        <v>34182.444444444445</v>
      </c>
    </row>
    <row r="71" spans="2:11">
      <c r="B71" s="75">
        <f t="shared" si="0"/>
        <v>45</v>
      </c>
      <c r="C71" s="76">
        <f t="shared" si="1"/>
        <v>22513.112886748775</v>
      </c>
      <c r="D71" s="76">
        <f t="shared" si="2"/>
        <v>1500.0587138576154</v>
      </c>
      <c r="E71" s="76">
        <f t="shared" si="3"/>
        <v>171.77505132589317</v>
      </c>
      <c r="F71" s="76">
        <f t="shared" si="4"/>
        <v>1328.2836625317223</v>
      </c>
      <c r="G71" s="77">
        <f t="shared" si="5"/>
        <v>21184.829224217054</v>
      </c>
      <c r="I71" s="80">
        <f t="shared" si="8"/>
        <v>56</v>
      </c>
      <c r="J71" s="86" t="str">
        <f t="shared" ca="1" si="6"/>
        <v>Not Given</v>
      </c>
      <c r="K71" s="77">
        <f t="shared" ca="1" si="7"/>
        <v>33562.555555555555</v>
      </c>
    </row>
    <row r="72" spans="2:11">
      <c r="B72" s="75">
        <f t="shared" si="0"/>
        <v>46</v>
      </c>
      <c r="C72" s="76">
        <f t="shared" si="1"/>
        <v>21184.829224217054</v>
      </c>
      <c r="D72" s="76">
        <f t="shared" si="2"/>
        <v>1500.0587138576154</v>
      </c>
      <c r="E72" s="76">
        <f t="shared" si="3"/>
        <v>161.64024698077614</v>
      </c>
      <c r="F72" s="76">
        <f t="shared" si="4"/>
        <v>1338.4184668768394</v>
      </c>
      <c r="G72" s="77">
        <f t="shared" si="5"/>
        <v>19846.410757340214</v>
      </c>
      <c r="I72" s="80">
        <f t="shared" si="8"/>
        <v>57</v>
      </c>
      <c r="J72" s="86" t="str">
        <f t="shared" ca="1" si="6"/>
        <v>Not Given</v>
      </c>
      <c r="K72" s="77">
        <f t="shared" ca="1" si="7"/>
        <v>32942.666666666664</v>
      </c>
    </row>
    <row r="73" spans="2:11">
      <c r="B73" s="75">
        <f t="shared" si="0"/>
        <v>47</v>
      </c>
      <c r="C73" s="76">
        <f t="shared" si="1"/>
        <v>19846.410757340214</v>
      </c>
      <c r="D73" s="76">
        <f t="shared" si="2"/>
        <v>1500.0587138576154</v>
      </c>
      <c r="E73" s="76">
        <f t="shared" si="3"/>
        <v>151.42811407850584</v>
      </c>
      <c r="F73" s="76">
        <f t="shared" si="4"/>
        <v>1348.6305997791096</v>
      </c>
      <c r="G73" s="77">
        <f t="shared" si="5"/>
        <v>18497.780157561105</v>
      </c>
      <c r="I73" s="80">
        <f t="shared" si="8"/>
        <v>58</v>
      </c>
      <c r="J73" s="86" t="str">
        <f t="shared" ca="1" si="6"/>
        <v>Not Given</v>
      </c>
      <c r="K73" s="77">
        <f t="shared" ca="1" si="7"/>
        <v>32322.777777777777</v>
      </c>
    </row>
    <row r="74" spans="2:11">
      <c r="B74" s="75">
        <f t="shared" si="0"/>
        <v>48</v>
      </c>
      <c r="C74" s="76">
        <f t="shared" si="1"/>
        <v>18497.780157561105</v>
      </c>
      <c r="D74" s="76">
        <f t="shared" si="2"/>
        <v>1500.0587138576154</v>
      </c>
      <c r="E74" s="76">
        <f t="shared" si="3"/>
        <v>141.13806260219124</v>
      </c>
      <c r="F74" s="76">
        <f t="shared" si="4"/>
        <v>1358.9206512554242</v>
      </c>
      <c r="G74" s="77">
        <f t="shared" si="5"/>
        <v>17138.859506305682</v>
      </c>
      <c r="I74" s="80">
        <f t="shared" si="8"/>
        <v>59</v>
      </c>
      <c r="J74" s="86" t="str">
        <f t="shared" ca="1" si="6"/>
        <v>Not Given</v>
      </c>
      <c r="K74" s="77">
        <f t="shared" ca="1" si="7"/>
        <v>31702.888888888891</v>
      </c>
    </row>
    <row r="75" spans="2:11" ht="16.5" thickBot="1">
      <c r="B75" s="75">
        <f t="shared" si="0"/>
        <v>49</v>
      </c>
      <c r="C75" s="76">
        <f t="shared" si="1"/>
        <v>17138.859506305682</v>
      </c>
      <c r="D75" s="76">
        <f t="shared" si="2"/>
        <v>1500.0587138576154</v>
      </c>
      <c r="E75" s="76">
        <f t="shared" si="3"/>
        <v>130.76949803311237</v>
      </c>
      <c r="F75" s="76">
        <f t="shared" si="4"/>
        <v>1369.2892158245031</v>
      </c>
      <c r="G75" s="77">
        <f t="shared" si="5"/>
        <v>15769.570290481179</v>
      </c>
      <c r="I75" s="89">
        <f t="shared" si="8"/>
        <v>60</v>
      </c>
      <c r="J75" s="90">
        <f t="shared" ca="1" si="6"/>
        <v>31083</v>
      </c>
      <c r="K75" s="91">
        <f t="shared" ca="1" si="7"/>
        <v>31083</v>
      </c>
    </row>
    <row r="76" spans="2:11">
      <c r="B76" s="75">
        <f t="shared" si="0"/>
        <v>50</v>
      </c>
      <c r="C76" s="76">
        <f t="shared" si="1"/>
        <v>15769.570290481179</v>
      </c>
      <c r="D76" s="76">
        <f t="shared" si="2"/>
        <v>1500.0587138576154</v>
      </c>
      <c r="E76" s="76">
        <f t="shared" si="3"/>
        <v>120.3218213163714</v>
      </c>
      <c r="F76" s="76">
        <f t="shared" si="4"/>
        <v>1379.7368925412441</v>
      </c>
      <c r="G76" s="77">
        <f t="shared" si="5"/>
        <v>14389.833397939934</v>
      </c>
    </row>
    <row r="77" spans="2:11">
      <c r="B77" s="75">
        <f t="shared" si="0"/>
        <v>51</v>
      </c>
      <c r="C77" s="76">
        <f t="shared" si="1"/>
        <v>14389.833397939934</v>
      </c>
      <c r="D77" s="76">
        <f t="shared" si="2"/>
        <v>1500.0587138576154</v>
      </c>
      <c r="E77" s="76">
        <f t="shared" si="3"/>
        <v>109.7944288262817</v>
      </c>
      <c r="F77" s="76">
        <f t="shared" si="4"/>
        <v>1390.2642850313337</v>
      </c>
      <c r="G77" s="77">
        <f t="shared" si="5"/>
        <v>12999.569112908601</v>
      </c>
    </row>
    <row r="78" spans="2:11">
      <c r="B78" s="75">
        <f t="shared" si="0"/>
        <v>52</v>
      </c>
      <c r="C78" s="76">
        <f t="shared" si="1"/>
        <v>12999.569112908601</v>
      </c>
      <c r="D78" s="76">
        <f t="shared" si="2"/>
        <v>1500.0587138576154</v>
      </c>
      <c r="E78" s="76">
        <f t="shared" si="3"/>
        <v>99.186712331492629</v>
      </c>
      <c r="F78" s="76">
        <f t="shared" si="4"/>
        <v>1400.8720015261229</v>
      </c>
      <c r="G78" s="77">
        <f t="shared" si="5"/>
        <v>11598.697111382478</v>
      </c>
    </row>
    <row r="79" spans="2:11">
      <c r="B79" s="75">
        <f>B78+1</f>
        <v>53</v>
      </c>
      <c r="C79" s="76">
        <f t="shared" si="1"/>
        <v>11598.697111382478</v>
      </c>
      <c r="D79" s="76">
        <f t="shared" si="2"/>
        <v>1500.0587138576154</v>
      </c>
      <c r="E79" s="76">
        <f t="shared" si="3"/>
        <v>88.498058959848322</v>
      </c>
      <c r="F79" s="76">
        <f t="shared" si="4"/>
        <v>1411.5606548977671</v>
      </c>
      <c r="G79" s="77">
        <f t="shared" si="5"/>
        <v>10187.136456484712</v>
      </c>
    </row>
    <row r="80" spans="2:11">
      <c r="B80" s="75">
        <f t="shared" si="0"/>
        <v>54</v>
      </c>
      <c r="C80" s="76">
        <f t="shared" si="1"/>
        <v>10187.136456484712</v>
      </c>
      <c r="D80" s="76">
        <f t="shared" si="2"/>
        <v>1500.0587138576154</v>
      </c>
      <c r="E80" s="76">
        <f t="shared" si="3"/>
        <v>77.727851162978354</v>
      </c>
      <c r="F80" s="76">
        <f t="shared" si="4"/>
        <v>1422.3308626946371</v>
      </c>
      <c r="G80" s="77">
        <f t="shared" si="5"/>
        <v>8764.8055937900754</v>
      </c>
    </row>
    <row r="81" spans="2:7">
      <c r="B81" s="75">
        <f t="shared" si="0"/>
        <v>55</v>
      </c>
      <c r="C81" s="76">
        <f t="shared" si="1"/>
        <v>8764.8055937900754</v>
      </c>
      <c r="D81" s="76">
        <f t="shared" si="2"/>
        <v>1500.0587138576154</v>
      </c>
      <c r="E81" s="76">
        <f t="shared" si="3"/>
        <v>66.875466680618274</v>
      </c>
      <c r="F81" s="76">
        <f t="shared" si="4"/>
        <v>1433.1832471769972</v>
      </c>
      <c r="G81" s="77">
        <f t="shared" si="5"/>
        <v>7331.6223466130778</v>
      </c>
    </row>
    <row r="82" spans="2:7">
      <c r="B82" s="75">
        <f t="shared" si="0"/>
        <v>56</v>
      </c>
      <c r="C82" s="76">
        <f t="shared" si="1"/>
        <v>7331.6223466130778</v>
      </c>
      <c r="D82" s="76">
        <f t="shared" si="2"/>
        <v>1500.0587138576154</v>
      </c>
      <c r="E82" s="76">
        <f t="shared" si="3"/>
        <v>55.94027850465779</v>
      </c>
      <c r="F82" s="76">
        <f t="shared" si="4"/>
        <v>1444.1184353529577</v>
      </c>
      <c r="G82" s="77">
        <f t="shared" si="5"/>
        <v>5887.5039112601198</v>
      </c>
    </row>
    <row r="83" spans="2:7">
      <c r="B83" s="75">
        <f t="shared" si="0"/>
        <v>57</v>
      </c>
      <c r="C83" s="76">
        <f t="shared" si="1"/>
        <v>5887.5039112601198</v>
      </c>
      <c r="D83" s="76">
        <f t="shared" si="2"/>
        <v>1500.0587138576154</v>
      </c>
      <c r="E83" s="76">
        <f t="shared" si="3"/>
        <v>44.92165484291472</v>
      </c>
      <c r="F83" s="76">
        <f t="shared" si="4"/>
        <v>1455.1370590147008</v>
      </c>
      <c r="G83" s="77">
        <f t="shared" si="5"/>
        <v>4432.3668522454191</v>
      </c>
    </row>
    <row r="84" spans="2:7">
      <c r="B84" s="75">
        <f>B83+1</f>
        <v>58</v>
      </c>
      <c r="C84" s="76">
        <f t="shared" si="1"/>
        <v>4432.3668522454191</v>
      </c>
      <c r="D84" s="76">
        <f t="shared" si="2"/>
        <v>1500.0587138576154</v>
      </c>
      <c r="E84" s="76">
        <f t="shared" si="3"/>
        <v>33.818959082632553</v>
      </c>
      <c r="F84" s="76">
        <f t="shared" si="4"/>
        <v>1466.2397547749829</v>
      </c>
      <c r="G84" s="77">
        <f t="shared" si="5"/>
        <v>2966.1270974704362</v>
      </c>
    </row>
    <row r="85" spans="2:7">
      <c r="B85" s="75">
        <f t="shared" si="0"/>
        <v>59</v>
      </c>
      <c r="C85" s="76">
        <f t="shared" si="1"/>
        <v>2966.1270974704362</v>
      </c>
      <c r="D85" s="76">
        <f t="shared" si="2"/>
        <v>1500.0587138576154</v>
      </c>
      <c r="E85" s="76">
        <f t="shared" si="3"/>
        <v>22.631549753699428</v>
      </c>
      <c r="F85" s="76">
        <f t="shared" si="4"/>
        <v>1477.4271641039161</v>
      </c>
      <c r="G85" s="77">
        <f t="shared" si="5"/>
        <v>1488.6999333665201</v>
      </c>
    </row>
    <row r="86" spans="2:7" ht="16.5" thickBot="1">
      <c r="B86" s="92">
        <f t="shared" si="0"/>
        <v>60</v>
      </c>
      <c r="C86" s="93">
        <f t="shared" si="1"/>
        <v>1488.6999333665201</v>
      </c>
      <c r="D86" s="93">
        <f t="shared" si="2"/>
        <v>1500.0587138576154</v>
      </c>
      <c r="E86" s="93">
        <f t="shared" si="3"/>
        <v>11.358780491586549</v>
      </c>
      <c r="F86" s="93">
        <f t="shared" si="4"/>
        <v>1488.699933366029</v>
      </c>
      <c r="G86" s="91">
        <f t="shared" si="5"/>
        <v>4.9112713895738125E-10</v>
      </c>
    </row>
  </sheetData>
  <sheetProtection password="DAD5" sheet="1" objects="1" scenarios="1"/>
  <mergeCells count="7">
    <mergeCell ref="M50:Q52"/>
    <mergeCell ref="M5:Q7"/>
    <mergeCell ref="M47:Q49"/>
    <mergeCell ref="F15:H20"/>
    <mergeCell ref="F5:H11"/>
    <mergeCell ref="C21:K24"/>
    <mergeCell ref="B2:L2"/>
  </mergeCells>
  <dataValidations count="1">
    <dataValidation type="whole" allowBlank="1" showInputMessage="1" showErrorMessage="1" sqref="K7">
      <formula1>24</formula1>
      <formula2>60</formula2>
    </dataValidation>
  </dataValidations>
  <hyperlinks>
    <hyperlink ref="M47" r:id="rId1"/>
  </hyperlinks>
  <pageMargins left="0.7" right="0.7" top="0.75" bottom="0.75" header="0.3" footer="0.3"/>
  <pageSetup orientation="portrait"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Loan vs. Lease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Becker</dc:creator>
  <cp:lastModifiedBy>John Becker</cp:lastModifiedBy>
  <dcterms:created xsi:type="dcterms:W3CDTF">2012-10-07T00:36:39Z</dcterms:created>
  <dcterms:modified xsi:type="dcterms:W3CDTF">2012-10-28T23:45:55Z</dcterms:modified>
</cp:coreProperties>
</file>